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defaultThemeVersion="124226"/>
  <mc:AlternateContent xmlns:mc="http://schemas.openxmlformats.org/markup-compatibility/2006">
    <mc:Choice Requires="x15">
      <x15ac:absPath xmlns:x15ac="http://schemas.microsoft.com/office/spreadsheetml/2010/11/ac" url="D:\MECI\MECI 2025\ACTIVIDADES DE CONTROL\INFORMES\INFORME SEMESTRAL SISTEMA DE CONTROL INTERNO\"/>
    </mc:Choice>
  </mc:AlternateContent>
  <xr:revisionPtr revIDLastSave="0" documentId="8_{1B28F8B3-3C13-4152-9448-939AB1D8CEE2}" xr6:coauthVersionLast="47" xr6:coauthVersionMax="47" xr10:uidLastSave="{00000000-0000-0000-0000-000000000000}"/>
  <bookViews>
    <workbookView xWindow="-120" yWindow="-120" windowWidth="29040" windowHeight="15720" firstSheet="1" activeTab="3" xr2:uid="{00000000-000D-0000-FFFF-FFFF00000000}"/>
  </bookViews>
  <sheets>
    <sheet name="Instructivo" sheetId="2" r:id="rId1"/>
    <sheet name="Estado SCI" sheetId="1" r:id="rId2"/>
    <sheet name="Análisis Resultados" sheetId="3" r:id="rId3"/>
    <sheet name="Conclusión" sheetId="5" r:id="rId4"/>
    <sheet name="Hoja1" sheetId="6" state="hidden" r:id="rId5"/>
  </sheets>
  <externalReferences>
    <externalReference r:id="rId6"/>
  </externalReferences>
  <definedNames>
    <definedName name="_xlnm._FilterDatabase" localSheetId="4" hidden="1">Hoja1!$A$1:$K$45</definedName>
  </definedNames>
  <calcPr calcId="181029"/>
</workbook>
</file>

<file path=xl/calcChain.xml><?xml version="1.0" encoding="utf-8"?>
<calcChain xmlns="http://schemas.openxmlformats.org/spreadsheetml/2006/main">
  <c r="J59" i="1" l="1"/>
  <c r="J58" i="1"/>
  <c r="J57" i="1"/>
  <c r="J56" i="1"/>
  <c r="J55" i="1"/>
  <c r="J54" i="1"/>
  <c r="J53" i="1"/>
  <c r="J52" i="1"/>
  <c r="J51" i="1"/>
  <c r="J50" i="1"/>
  <c r="I59" i="1"/>
  <c r="I58" i="1"/>
  <c r="I57" i="1"/>
  <c r="I56" i="1"/>
  <c r="I55" i="1"/>
  <c r="I54" i="1"/>
  <c r="I53" i="1"/>
  <c r="I52" i="1"/>
  <c r="I51" i="1"/>
  <c r="I50" i="1"/>
  <c r="I49" i="1"/>
  <c r="I48" i="1"/>
  <c r="I47" i="1"/>
  <c r="I46" i="1"/>
  <c r="I45" i="1"/>
  <c r="I44" i="1"/>
  <c r="I43" i="1"/>
  <c r="I42" i="1"/>
  <c r="I41" i="1"/>
  <c r="I40" i="1"/>
  <c r="I39" i="1"/>
  <c r="I38" i="1"/>
  <c r="I37" i="1"/>
  <c r="I36" i="1"/>
  <c r="I35" i="1"/>
  <c r="I34" i="1"/>
  <c r="I33" i="1"/>
  <c r="I32" i="1"/>
  <c r="I31" i="1"/>
  <c r="I30" i="1"/>
  <c r="I29" i="1"/>
  <c r="I28" i="1"/>
  <c r="I27" i="1"/>
  <c r="I26" i="1"/>
  <c r="I25" i="1"/>
  <c r="I24" i="1"/>
  <c r="I23" i="1"/>
  <c r="I22" i="1"/>
  <c r="I21" i="1"/>
  <c r="I20" i="1"/>
  <c r="I19" i="1"/>
  <c r="I18" i="1"/>
  <c r="I17" i="1"/>
  <c r="I16" i="1"/>
  <c r="A59" i="1" l="1"/>
  <c r="A58" i="1"/>
  <c r="A57" i="1"/>
  <c r="A56" i="1"/>
  <c r="A55" i="1"/>
  <c r="A54" i="1"/>
  <c r="A53" i="1"/>
  <c r="A52" i="1"/>
  <c r="A51" i="1"/>
  <c r="A50" i="1"/>
  <c r="A49" i="1"/>
  <c r="A48" i="1"/>
  <c r="A47" i="1"/>
  <c r="A46" i="1"/>
  <c r="A45" i="1"/>
  <c r="A44" i="1"/>
  <c r="A43" i="1"/>
  <c r="A42" i="1"/>
  <c r="A41" i="1"/>
  <c r="A40" i="1"/>
  <c r="A39" i="1"/>
  <c r="J37" i="1"/>
  <c r="L37" i="1" s="1"/>
  <c r="J36" i="1"/>
  <c r="L36" i="1" s="1"/>
  <c r="J35" i="1"/>
  <c r="L35" i="1" s="1"/>
  <c r="J34" i="1"/>
  <c r="L34" i="1" s="1"/>
  <c r="J33" i="1"/>
  <c r="L33" i="1" s="1"/>
  <c r="J32" i="1"/>
  <c r="L32" i="1" s="1"/>
  <c r="A38" i="1"/>
  <c r="A37" i="1"/>
  <c r="A36" i="1"/>
  <c r="A35" i="1"/>
  <c r="A34" i="1"/>
  <c r="A33" i="1"/>
  <c r="A32" i="1"/>
  <c r="L59" i="1"/>
  <c r="L58" i="1"/>
  <c r="L57" i="1"/>
  <c r="L56" i="1"/>
  <c r="L55" i="1"/>
  <c r="L54" i="1"/>
  <c r="L53" i="1"/>
  <c r="L52" i="1"/>
  <c r="L51" i="1"/>
  <c r="L50" i="1"/>
  <c r="J49" i="1"/>
  <c r="L49" i="1" s="1"/>
  <c r="J48" i="1"/>
  <c r="L48" i="1" s="1"/>
  <c r="J47" i="1"/>
  <c r="L47" i="1" s="1"/>
  <c r="J46" i="1"/>
  <c r="L46" i="1" s="1"/>
  <c r="J45" i="1"/>
  <c r="L45" i="1" s="1"/>
  <c r="J44" i="1"/>
  <c r="L44" i="1" s="1"/>
  <c r="J43" i="1"/>
  <c r="L43" i="1" s="1"/>
  <c r="J42" i="1"/>
  <c r="L42" i="1" s="1"/>
  <c r="J41" i="1"/>
  <c r="L41" i="1" s="1"/>
  <c r="J40" i="1"/>
  <c r="L40" i="1" s="1"/>
  <c r="J39" i="1"/>
  <c r="L39" i="1" s="1"/>
  <c r="J38" i="1"/>
  <c r="L38" i="1" s="1"/>
  <c r="J31" i="1"/>
  <c r="L31" i="1" s="1"/>
  <c r="J30" i="1"/>
  <c r="L30" i="1" s="1"/>
  <c r="J29" i="1"/>
  <c r="L29" i="1" s="1"/>
  <c r="J28" i="1"/>
  <c r="L28" i="1" s="1"/>
  <c r="J27" i="1"/>
  <c r="L27" i="1" s="1"/>
  <c r="J26" i="1"/>
  <c r="L26" i="1" s="1"/>
  <c r="J25" i="1"/>
  <c r="L25" i="1" s="1"/>
  <c r="J24" i="1"/>
  <c r="L24" i="1" s="1"/>
  <c r="J23" i="1"/>
  <c r="L23" i="1" s="1"/>
  <c r="J22" i="1"/>
  <c r="L22" i="1" s="1"/>
  <c r="J21" i="1"/>
  <c r="L21" i="1" s="1"/>
  <c r="J20" i="1"/>
  <c r="L20" i="1" s="1"/>
  <c r="J19" i="1"/>
  <c r="L19" i="1" s="1"/>
  <c r="J18" i="1"/>
  <c r="L18" i="1" s="1"/>
  <c r="J17" i="1"/>
  <c r="L17" i="1" s="1"/>
  <c r="J16" i="1"/>
  <c r="L16" i="1" s="1"/>
  <c r="A31" i="1" l="1"/>
  <c r="A30" i="1"/>
  <c r="A29" i="1"/>
  <c r="A28" i="1"/>
  <c r="A27" i="1"/>
  <c r="A26" i="1"/>
  <c r="A25" i="1"/>
  <c r="A24" i="1"/>
  <c r="A23" i="1"/>
  <c r="A22" i="1"/>
  <c r="A21" i="1"/>
  <c r="A20" i="1"/>
  <c r="A19" i="1"/>
  <c r="A18" i="1"/>
  <c r="A17" i="1"/>
  <c r="A16" i="1"/>
  <c r="I3" i="6" l="1"/>
  <c r="J3" i="6" s="1"/>
  <c r="I11" i="6"/>
  <c r="J11" i="6" s="1"/>
  <c r="I19" i="6"/>
  <c r="J19" i="6" s="1"/>
  <c r="I25" i="6"/>
  <c r="J25" i="6" s="1"/>
  <c r="I33" i="6"/>
  <c r="J33" i="6" s="1"/>
  <c r="I41" i="6"/>
  <c r="J41" i="6" s="1"/>
  <c r="B29" i="6"/>
  <c r="I4" i="6"/>
  <c r="J4" i="6" s="1"/>
  <c r="I12" i="6"/>
  <c r="J12" i="6" s="1"/>
  <c r="I20" i="6"/>
  <c r="J20" i="6" s="1"/>
  <c r="I26" i="6"/>
  <c r="J26" i="6" s="1"/>
  <c r="I34" i="6"/>
  <c r="J34" i="6" s="1"/>
  <c r="I42" i="6"/>
  <c r="J42" i="6" s="1"/>
  <c r="B36" i="6"/>
  <c r="I5" i="6"/>
  <c r="J5" i="6" s="1"/>
  <c r="I13" i="6"/>
  <c r="J13" i="6" s="1"/>
  <c r="I27" i="6"/>
  <c r="J27" i="6" s="1"/>
  <c r="I35" i="6"/>
  <c r="J35" i="6" s="1"/>
  <c r="I43" i="6"/>
  <c r="J43" i="6" s="1"/>
  <c r="B2" i="6"/>
  <c r="I6" i="6"/>
  <c r="J6" i="6" s="1"/>
  <c r="I14" i="6"/>
  <c r="J14" i="6" s="1"/>
  <c r="I21" i="6"/>
  <c r="J21" i="6" s="1"/>
  <c r="I28" i="6"/>
  <c r="J28" i="6" s="1"/>
  <c r="I36" i="6"/>
  <c r="J36" i="6" s="1"/>
  <c r="I44" i="6"/>
  <c r="J44" i="6" s="1"/>
  <c r="I7" i="6"/>
  <c r="J7" i="6" s="1"/>
  <c r="I15" i="6"/>
  <c r="J15" i="6" s="1"/>
  <c r="I22" i="6"/>
  <c r="J22" i="6" s="1"/>
  <c r="I29" i="6"/>
  <c r="J29" i="6" s="1"/>
  <c r="I37" i="6"/>
  <c r="J37" i="6" s="1"/>
  <c r="I45" i="6"/>
  <c r="J45" i="6" s="1"/>
  <c r="I8" i="6"/>
  <c r="J8" i="6" s="1"/>
  <c r="I16" i="6"/>
  <c r="J16" i="6" s="1"/>
  <c r="I23" i="6"/>
  <c r="J23" i="6" s="1"/>
  <c r="I30" i="6"/>
  <c r="J30" i="6" s="1"/>
  <c r="I38" i="6"/>
  <c r="J38" i="6" s="1"/>
  <c r="I2" i="6"/>
  <c r="J2" i="6" s="1"/>
  <c r="I9" i="6"/>
  <c r="J9" i="6" s="1"/>
  <c r="I17" i="6"/>
  <c r="J17" i="6" s="1"/>
  <c r="I31" i="6"/>
  <c r="J31" i="6" s="1"/>
  <c r="I39" i="6"/>
  <c r="J39" i="6" s="1"/>
  <c r="B14" i="6"/>
  <c r="I10" i="6"/>
  <c r="J10" i="6" s="1"/>
  <c r="I18" i="6"/>
  <c r="J18" i="6" s="1"/>
  <c r="I24" i="6"/>
  <c r="J24" i="6" s="1"/>
  <c r="I32" i="6"/>
  <c r="J32" i="6" s="1"/>
  <c r="I40" i="6"/>
  <c r="J40" i="6" s="1"/>
  <c r="B24" i="6"/>
  <c r="G41" i="6"/>
  <c r="G40" i="6"/>
  <c r="G32" i="6"/>
  <c r="G24" i="6"/>
  <c r="G18" i="6"/>
  <c r="G10" i="6"/>
  <c r="G2" i="6"/>
  <c r="F10" i="6"/>
  <c r="F18" i="6"/>
  <c r="F24" i="6"/>
  <c r="F32" i="6"/>
  <c r="F40" i="6"/>
  <c r="G29" i="6"/>
  <c r="G7" i="6"/>
  <c r="F27" i="6"/>
  <c r="G28" i="6"/>
  <c r="G14" i="6"/>
  <c r="F14" i="6"/>
  <c r="F36" i="6"/>
  <c r="G27" i="6"/>
  <c r="G5" i="6"/>
  <c r="F22" i="6"/>
  <c r="F45" i="6"/>
  <c r="G34" i="6"/>
  <c r="G20" i="6"/>
  <c r="F8" i="6"/>
  <c r="F30" i="6"/>
  <c r="G33" i="6"/>
  <c r="G11" i="6"/>
  <c r="F17" i="6"/>
  <c r="G39" i="6"/>
  <c r="G31" i="6"/>
  <c r="G17" i="6"/>
  <c r="G9" i="6"/>
  <c r="F3" i="6"/>
  <c r="F11" i="6"/>
  <c r="F19" i="6"/>
  <c r="F25" i="6"/>
  <c r="F33" i="6"/>
  <c r="F41" i="6"/>
  <c r="G37" i="6"/>
  <c r="G15" i="6"/>
  <c r="F5" i="6"/>
  <c r="F43" i="6"/>
  <c r="G44" i="6"/>
  <c r="G21" i="6"/>
  <c r="F6" i="6"/>
  <c r="F28" i="6"/>
  <c r="G35" i="6"/>
  <c r="G13" i="6"/>
  <c r="F7" i="6"/>
  <c r="F29" i="6"/>
  <c r="G26" i="6"/>
  <c r="G4" i="6"/>
  <c r="F23" i="6"/>
  <c r="F2" i="6"/>
  <c r="G19" i="6"/>
  <c r="F9" i="6"/>
  <c r="F39" i="6"/>
  <c r="G38" i="6"/>
  <c r="G30" i="6"/>
  <c r="G23" i="6"/>
  <c r="G16" i="6"/>
  <c r="G8" i="6"/>
  <c r="F4" i="6"/>
  <c r="F12" i="6"/>
  <c r="F20" i="6"/>
  <c r="F26" i="6"/>
  <c r="F34" i="6"/>
  <c r="F42" i="6"/>
  <c r="G45" i="6"/>
  <c r="G22" i="6"/>
  <c r="F13" i="6"/>
  <c r="F35" i="6"/>
  <c r="G36" i="6"/>
  <c r="G6" i="6"/>
  <c r="F21" i="6"/>
  <c r="F44" i="6"/>
  <c r="G43" i="6"/>
  <c r="F15" i="6"/>
  <c r="F37" i="6"/>
  <c r="G42" i="6"/>
  <c r="G12" i="6"/>
  <c r="F16" i="6"/>
  <c r="F38" i="6"/>
  <c r="G25" i="6"/>
  <c r="G3" i="6"/>
  <c r="F31" i="6"/>
  <c r="K24" i="6" l="1"/>
  <c r="G30" i="5" s="1"/>
  <c r="K29" i="6"/>
  <c r="K36" i="6"/>
  <c r="K14" i="6"/>
  <c r="K9" i="6"/>
  <c r="K6" i="6"/>
  <c r="K35" i="6"/>
  <c r="K19" i="6"/>
  <c r="K23" i="6"/>
  <c r="K40" i="6"/>
  <c r="K10" i="6"/>
  <c r="K7" i="6"/>
  <c r="K44" i="6"/>
  <c r="K20" i="6"/>
  <c r="K38" i="6"/>
  <c r="K3" i="6"/>
  <c r="K8" i="6"/>
  <c r="K30" i="6"/>
  <c r="K37" i="6"/>
  <c r="K25" i="6"/>
  <c r="K45" i="6"/>
  <c r="K11" i="6"/>
  <c r="K4" i="6"/>
  <c r="K12" i="6"/>
  <c r="K32" i="6"/>
  <c r="K41" i="6"/>
  <c r="K17" i="6"/>
  <c r="K15" i="6"/>
  <c r="K28" i="6"/>
  <c r="K39" i="6"/>
  <c r="K27" i="6"/>
  <c r="K5" i="6"/>
  <c r="K33" i="6"/>
  <c r="K42" i="6"/>
  <c r="K22" i="6"/>
  <c r="K2" i="6"/>
  <c r="K31" i="6"/>
  <c r="K13" i="6"/>
  <c r="K34" i="6"/>
  <c r="K43" i="6"/>
  <c r="K18" i="6"/>
  <c r="K16" i="6"/>
  <c r="K26" i="6"/>
  <c r="K21" i="6"/>
  <c r="H37" i="6"/>
  <c r="H17" i="6"/>
  <c r="H30" i="6"/>
  <c r="H2" i="6"/>
  <c r="H10" i="6"/>
  <c r="H44" i="6"/>
  <c r="H6" i="6"/>
  <c r="H7" i="6"/>
  <c r="H42" i="6"/>
  <c r="H36" i="6"/>
  <c r="H11" i="6"/>
  <c r="H5" i="6"/>
  <c r="H29" i="6"/>
  <c r="H18" i="6"/>
  <c r="H12" i="6"/>
  <c r="H38" i="6"/>
  <c r="H13" i="6"/>
  <c r="H33" i="6"/>
  <c r="H27" i="6"/>
  <c r="H24" i="6"/>
  <c r="H3" i="6"/>
  <c r="H8" i="6"/>
  <c r="H26" i="6"/>
  <c r="H39" i="6"/>
  <c r="H19" i="6"/>
  <c r="H35" i="6"/>
  <c r="H15" i="6"/>
  <c r="H9" i="6"/>
  <c r="H32" i="6"/>
  <c r="H40" i="6"/>
  <c r="H22" i="6"/>
  <c r="H25" i="6"/>
  <c r="H45" i="6"/>
  <c r="H20" i="6"/>
  <c r="H14" i="6"/>
  <c r="H43" i="6"/>
  <c r="H16" i="6"/>
  <c r="H23" i="6"/>
  <c r="H4" i="6"/>
  <c r="H21" i="6"/>
  <c r="H31" i="6"/>
  <c r="H34" i="6"/>
  <c r="H28" i="6"/>
  <c r="H41" i="6"/>
  <c r="E30" i="5" l="1"/>
  <c r="E26" i="5"/>
  <c r="G26" i="5"/>
  <c r="E28" i="5"/>
  <c r="G28" i="5"/>
  <c r="G34" i="5"/>
  <c r="E34" i="5"/>
  <c r="E32" i="5"/>
  <c r="G32" i="5"/>
  <c r="F56" i="3"/>
  <c r="F48" i="3"/>
  <c r="F40" i="3"/>
  <c r="F32" i="3"/>
  <c r="F24" i="3"/>
  <c r="F55" i="3"/>
  <c r="F47" i="3"/>
  <c r="F39" i="3"/>
  <c r="F31" i="3"/>
  <c r="F23" i="3"/>
  <c r="F34" i="3"/>
  <c r="F62" i="3"/>
  <c r="F54" i="3"/>
  <c r="F46" i="3"/>
  <c r="F38" i="3"/>
  <c r="F30" i="3"/>
  <c r="F22" i="3"/>
  <c r="F53" i="3"/>
  <c r="F45" i="3"/>
  <c r="F37" i="3"/>
  <c r="F29" i="3"/>
  <c r="F57" i="3"/>
  <c r="F33" i="3"/>
  <c r="F61" i="3"/>
  <c r="F21" i="3"/>
  <c r="F58" i="3"/>
  <c r="F50" i="3"/>
  <c r="F26" i="3"/>
  <c r="F60" i="3"/>
  <c r="F52" i="3"/>
  <c r="F44" i="3"/>
  <c r="F36" i="3"/>
  <c r="F28" i="3"/>
  <c r="F20" i="3"/>
  <c r="F25" i="3"/>
  <c r="F59" i="3"/>
  <c r="F51" i="3"/>
  <c r="F43" i="3"/>
  <c r="F35" i="3"/>
  <c r="F27" i="3"/>
  <c r="F19" i="3"/>
  <c r="F42" i="3"/>
  <c r="F49" i="3"/>
  <c r="F41" i="3"/>
  <c r="E56" i="3"/>
  <c r="E40" i="3"/>
  <c r="E55" i="3"/>
  <c r="E47" i="3"/>
  <c r="E39" i="3"/>
  <c r="E31" i="3"/>
  <c r="E23" i="3"/>
  <c r="E51" i="3"/>
  <c r="E27" i="3"/>
  <c r="E58" i="3"/>
  <c r="E26" i="3"/>
  <c r="E57" i="3"/>
  <c r="E25" i="3"/>
  <c r="E24" i="3"/>
  <c r="E62" i="3"/>
  <c r="E54" i="3"/>
  <c r="E46" i="3"/>
  <c r="E38" i="3"/>
  <c r="E30" i="3"/>
  <c r="E22" i="3"/>
  <c r="E60" i="3"/>
  <c r="E20" i="3"/>
  <c r="E43" i="3"/>
  <c r="E50" i="3"/>
  <c r="E34" i="3"/>
  <c r="E49" i="3"/>
  <c r="E48" i="3"/>
  <c r="E61" i="3"/>
  <c r="E53" i="3"/>
  <c r="E45" i="3"/>
  <c r="E37" i="3"/>
  <c r="E29" i="3"/>
  <c r="E21" i="3"/>
  <c r="E52" i="3"/>
  <c r="E44" i="3"/>
  <c r="E36" i="3"/>
  <c r="E28" i="3"/>
  <c r="E59" i="3"/>
  <c r="E35" i="3"/>
  <c r="E19" i="3"/>
  <c r="E42" i="3"/>
  <c r="E41" i="3"/>
  <c r="E33" i="3"/>
  <c r="E32" i="3"/>
  <c r="I61" i="3" l="1"/>
  <c r="G61" i="3"/>
  <c r="I59" i="3"/>
  <c r="G59" i="3"/>
  <c r="I45" i="3"/>
  <c r="G45" i="3"/>
  <c r="G20" i="3"/>
  <c r="I20" i="3"/>
  <c r="G24" i="3"/>
  <c r="I24" i="3"/>
  <c r="I31" i="3"/>
  <c r="G31" i="3"/>
  <c r="I32" i="3"/>
  <c r="G32" i="3"/>
  <c r="G28" i="3"/>
  <c r="I28" i="3"/>
  <c r="I53" i="3"/>
  <c r="G53" i="3"/>
  <c r="I60" i="3"/>
  <c r="G60" i="3"/>
  <c r="G25" i="3"/>
  <c r="I25" i="3"/>
  <c r="I39" i="3"/>
  <c r="G39" i="3"/>
  <c r="G22" i="3"/>
  <c r="I22" i="3"/>
  <c r="I57" i="3"/>
  <c r="G57" i="3"/>
  <c r="I47" i="3"/>
  <c r="G47" i="3"/>
  <c r="I33" i="3"/>
  <c r="G33" i="3"/>
  <c r="I44" i="3"/>
  <c r="G44" i="3"/>
  <c r="I48" i="3"/>
  <c r="G48" i="3"/>
  <c r="I30" i="3"/>
  <c r="G30" i="3"/>
  <c r="G26" i="3"/>
  <c r="I26" i="3"/>
  <c r="I55" i="3"/>
  <c r="G55" i="3"/>
  <c r="I41" i="3"/>
  <c r="G41" i="3"/>
  <c r="I52" i="3"/>
  <c r="G52" i="3"/>
  <c r="I49" i="3"/>
  <c r="G49" i="3"/>
  <c r="I38" i="3"/>
  <c r="G38" i="3"/>
  <c r="I58" i="3"/>
  <c r="G58" i="3"/>
  <c r="I42" i="3"/>
  <c r="G42" i="3"/>
  <c r="G21" i="3"/>
  <c r="I21" i="3"/>
  <c r="I34" i="3"/>
  <c r="G34" i="3"/>
  <c r="I46" i="3"/>
  <c r="G46" i="3"/>
  <c r="I27" i="3"/>
  <c r="G27" i="3"/>
  <c r="I40" i="3"/>
  <c r="G40" i="3"/>
  <c r="I36" i="3"/>
  <c r="G36" i="3"/>
  <c r="I19" i="3"/>
  <c r="G19" i="3"/>
  <c r="G29" i="3"/>
  <c r="I29" i="3"/>
  <c r="I50" i="3"/>
  <c r="G50" i="3"/>
  <c r="I54" i="3"/>
  <c r="G54" i="3"/>
  <c r="I51" i="3"/>
  <c r="G51" i="3"/>
  <c r="I56" i="3"/>
  <c r="G56" i="3"/>
  <c r="I35" i="3"/>
  <c r="G35" i="3"/>
  <c r="I37" i="3"/>
  <c r="G37" i="3"/>
  <c r="I43" i="3"/>
  <c r="G43" i="3"/>
  <c r="I62" i="3"/>
  <c r="G62" i="3"/>
  <c r="G23" i="3"/>
  <c r="I23" i="3"/>
  <c r="J41" i="3" l="1"/>
  <c r="J53" i="3"/>
  <c r="J46" i="3"/>
  <c r="J31" i="3"/>
  <c r="J19" i="3"/>
  <c r="M8" i="5" l="1"/>
</calcChain>
</file>

<file path=xl/sharedStrings.xml><?xml version="1.0" encoding="utf-8"?>
<sst xmlns="http://schemas.openxmlformats.org/spreadsheetml/2006/main" count="512" uniqueCount="243">
  <si>
    <t>EVALUACIÓN INDEPENDIENTE SISTEMA DE CONTROL INTERNO
Entidades Pequeñas
(instrucciones para su diligenciamiento)</t>
  </si>
  <si>
    <t>Teniendo en cuenta que con la expedición del Decreto 1499 de 2017 “Por medio del cual se modifica el Decreto 1083 de 2015, Decreto Único Reglamentario del Sector Función Pública, en lo relacionado con el Sistema de Gestión establecido en el artículo 133 de la Ley 1753 de 2015”, se crea un solo Sistema de Gestión y se alinea con el Sistema de Control Interno, hoy todas las entidades públicas requieren actualizar y/o implementar el Modelo Integrado de Planeación y Gestión MIPG, modelo que incorpora el Modelo Estándar de Control Interno MECI a través de la 7a dimensión del mismo.  Esta estructura requiere de un análisis articulado frente al desarrollo de las políticas de gestión y desempeño contenidas en el modelo y su efectividad en relación con la estructura de control, este útlimo, aspecto esecial para garantizar el buen manejo de los recursos, que las metas y objetivos se cumplan y se mejore la prestación del servicio a los usuarios, ejes fundamentales para la generación de valor público.
Teniendo en cuenta lo anterior y dada la necesidad de dar cumplimiento a la dispuesto en el articulo 156 del Decreto 2106 de 2019, el presente formatobusca que las entidades cuenten con una herramienta para evaluar sus Sistemas de Control Interno de manera integral y permitirle al Jefe de Control Interno o quien haga sus veces llevar a cabo el informe de evaluación independiente sobre el mismo para su publicación cada seis (6) meses, en el sitio web de la entidad. La estructura propuesta es diferencial para aquellas entidades de municipios de 6a categoría (Personerías y Concejos Municipales) que son entidades con 1 y hasta 5 servidores en sus plantas de personal. Estas entidades deben tener en cuenta que de acuerdo con el parágrafo del artículo ARTÍCULO 2.2.22.2.1. del Decreto 1499 de 2017, las políticas de gestión y desempeño contenidas en el Modelo Integrado de Planeación y Gestión MIPG, deben ser aplicadas acorde con las normas que las regulan, por lo que deben analizar dichas políticas e implementarlas en armonía con el MECI.</t>
  </si>
  <si>
    <t>Orientaciones Generales</t>
  </si>
  <si>
    <r>
      <t xml:space="preserve">El archivo contiene las siguientes hojas:
 -  1 </t>
    </r>
    <r>
      <rPr>
        <b/>
        <sz val="11"/>
        <rFont val="Arial Narrow"/>
        <family val="2"/>
      </rPr>
      <t xml:space="preserve">Pestaña que desarrolla la estructura para evaluar el estado del Sistema de Control Interno: </t>
    </r>
    <r>
      <rPr>
        <sz val="11"/>
        <rFont val="Arial Narrow"/>
        <family val="2"/>
      </rPr>
      <t xml:space="preserve">Se desagrega en </t>
    </r>
    <r>
      <rPr>
        <sz val="10"/>
        <rFont val="Arial Narrow"/>
        <family val="2"/>
      </rPr>
      <t>"Ambiente de Control", "Evaluación de riesgos", "Actividades de control", "Información y Comunicación", y " Actividades de Monitoreo", componentes actuales del Modelo Estándar de Control Interno MECI. La estructura es la siguiente para el diligenciamiento:</t>
    </r>
  </si>
  <si>
    <t>Columna</t>
  </si>
  <si>
    <t>Descripción</t>
  </si>
  <si>
    <t>Componente del MECI asociado</t>
  </si>
  <si>
    <t>Esta columna define los componentes del MECI.</t>
  </si>
  <si>
    <t>Lineamiento General por Componente</t>
  </si>
  <si>
    <t>En esta columna establece el lineamientos general para cada uno de los componentes del MECI</t>
  </si>
  <si>
    <t>Requerimiento Asociado al Componente</t>
  </si>
  <si>
    <t>Se muestran una serie de preguntas con 3 opciones de respuesta así:
1. SI
2.NO
3. EN PROCESO</t>
  </si>
  <si>
    <t>Evidencia de Seguimiento al Control</t>
  </si>
  <si>
    <t>Establezca actividades adelantadas de aplicación del documento o elemento antes identificado (esto cuando se responde SI o bien EN PROCESO)</t>
  </si>
  <si>
    <r>
      <t xml:space="preserve"> -</t>
    </r>
    <r>
      <rPr>
        <sz val="11"/>
        <rFont val="Arial Narrow"/>
        <family val="2"/>
      </rPr>
      <t xml:space="preserve"> </t>
    </r>
    <r>
      <rPr>
        <b/>
        <sz val="11"/>
        <rFont val="Arial Narrow"/>
        <family val="2"/>
      </rPr>
      <t>Análisis de Resultados:</t>
    </r>
    <r>
      <rPr>
        <sz val="10"/>
        <rFont val="Arial Narrow"/>
        <family val="2"/>
      </rPr>
      <t xml:space="preserve"> Esta hoja permite consolidar los resultados para cada componente evaluado.</t>
    </r>
  </si>
  <si>
    <t xml:space="preserve">Clasificación </t>
  </si>
  <si>
    <t>Observaciones del Control</t>
  </si>
  <si>
    <t>Mantenimiento del Control</t>
  </si>
  <si>
    <t>Existe requerimiento pero se requiere actividades  dirigidas a su mantenimiento dentro del marco de las lineas de defensa.</t>
  </si>
  <si>
    <t>Oportunidad de Mejora</t>
  </si>
  <si>
    <t>Se encuentra en proceso, pero requiere continuar con acciones dirigidas a contar con dicho aspecto de control</t>
  </si>
  <si>
    <t xml:space="preserve">Deficiencia del Control 
</t>
  </si>
  <si>
    <t>No se encuentra el aspecto  por lo tanto la entidad debera generar acciones dirigidas a que se cumpla con el requerimiento .</t>
  </si>
  <si>
    <r>
      <t xml:space="preserve"> -</t>
    </r>
    <r>
      <rPr>
        <sz val="11"/>
        <rFont val="Arial Narrow"/>
        <family val="2"/>
      </rPr>
      <t xml:space="preserve"> </t>
    </r>
    <r>
      <rPr>
        <b/>
        <sz val="11"/>
        <rFont val="Arial Narrow"/>
        <family val="2"/>
      </rPr>
      <t>Conclusiones:</t>
    </r>
    <r>
      <rPr>
        <sz val="10"/>
        <rFont val="Arial Narrow"/>
        <family val="2"/>
      </rPr>
      <t xml:space="preserve"> Esta hoja permite establecer el estado del Sistema de Control Interno evaluado, información a partir de la cual se definen las acciones de mejora correspondientes. Esta hoja será el informe para publicación en página web, o bien para ubicar en un lugar visible en la sede de la entidad (esto para aquellas que no cuentan con conectividad o página web en operación).</t>
    </r>
  </si>
  <si>
    <t>MEDICION ESTADO DEL SISTEMA DE CONTROL INTERNO EN LA ENTIDAD</t>
  </si>
  <si>
    <t xml:space="preserve">No. </t>
  </si>
  <si>
    <t>Literal</t>
  </si>
  <si>
    <t>Requerimiento asociado al componente</t>
  </si>
  <si>
    <t>Seguimiento al control (Si, No, En proceso)</t>
  </si>
  <si>
    <t>Evidencia de seguimiento al control
(Establezca actividades adelantadas de aplicación del documento o elemento antes identificado, esto cuando se responde SI o bien EN PROCESO</t>
  </si>
  <si>
    <t>Evaluación</t>
  </si>
  <si>
    <t>1</t>
  </si>
  <si>
    <t>AMBIENTE DE CONTROL</t>
  </si>
  <si>
    <t>El ambiente de control institucional está integrado por todas esas condiciones mínimas que debe garantizar cualquier entidad pública para el ejercicio del control interno. Para el caso de su entidad indique si se cuenta con:</t>
  </si>
  <si>
    <t>a</t>
  </si>
  <si>
    <t>Documento interno o adopción del MECI actualizado</t>
  </si>
  <si>
    <t>No</t>
  </si>
  <si>
    <t>b</t>
  </si>
  <si>
    <t>Un documento tal como un código de ética, integridad u otro que formalice los estándares de conducta, los principios institucionales o los valores del servicio público</t>
  </si>
  <si>
    <t>Si</t>
  </si>
  <si>
    <t>c</t>
  </si>
  <si>
    <t>Planes, programas y proyectos de acuerdo con las normas que rigen y atendiendo con su propósito fundamental institucional (misión)</t>
  </si>
  <si>
    <t>d</t>
  </si>
  <si>
    <t>Una estructura organizacional formalizada (organigrama)</t>
  </si>
  <si>
    <t>e</t>
  </si>
  <si>
    <t>Un manual de funciones que describa los empleos de la entidad</t>
  </si>
  <si>
    <t>f</t>
  </si>
  <si>
    <t>La documentación de sus procesos y procedimientos o bien una lista de actividades principales que permitan conocer el estado de su gestión</t>
  </si>
  <si>
    <t>g</t>
  </si>
  <si>
    <t>Vinculación de los servidores públicos de acuerdo con el marco normativo que les rige (carrera administrativa, libre nombramiento y remoción, entre otros)</t>
  </si>
  <si>
    <t>h</t>
  </si>
  <si>
    <t>Procesos de inducción, capacitación y bienestar social para sus servidores públicos, de manera directa o en asociación con otras entidades municipales</t>
  </si>
  <si>
    <t>i</t>
  </si>
  <si>
    <t>Evaluación a los servidores públicos de acuerdo con el marco normativo que le rige</t>
  </si>
  <si>
    <t>j</t>
  </si>
  <si>
    <t>Procesos de desvinculación de servidores de acuerdo con lo previsto en la Constitución Política y las leyes</t>
  </si>
  <si>
    <t>k</t>
  </si>
  <si>
    <t>Mecanismos de rendición de cuentas a la ciudadanía</t>
  </si>
  <si>
    <t>l</t>
  </si>
  <si>
    <t>Presentación oportuna de sus informes de gestión a las autoridades competentes</t>
  </si>
  <si>
    <t>2</t>
  </si>
  <si>
    <t>EVALUACION DEL RIESGO</t>
  </si>
  <si>
    <t>Toda entidad debe identificar, evaluar y gestionar eventos potenciales, tanto internos como externos, que puedan afectar el logro de los objetivos institucionales. Para el caso de su entidad indique si se cuenta con:</t>
  </si>
  <si>
    <t>Identificación de cambios en su entorno que pueden generar consecuencias negativas en su gestión</t>
  </si>
  <si>
    <t>Identificación de aquellos problemas o aspectos que pueden afectar el cumplimiento de los planes de la entidad y en general su gestión institucional (riesgos)</t>
  </si>
  <si>
    <t>Identificación  de los riesgos relacionados con posibles actos de corrupción en el ejercicio de sus funciones</t>
  </si>
  <si>
    <t>Si su capacidad e infraestructura lo permite, identificación de riesgos asociados a las tecnologías de la información y las comunicaciones</t>
  </si>
  <si>
    <t>3</t>
  </si>
  <si>
    <t>Los líderes de los programas, proyectos, o procesos de la entidad  junto con sus equipos de trabajo:</t>
  </si>
  <si>
    <t>Hacen seguimiento a los problemas (riesgos)  que pueden afectar el cumplimiento de sus procesos, programas o proyectos a cargo</t>
  </si>
  <si>
    <t>Informan de manera periódica a quien corresponda sobre el desempeño de las actividades de gestión de riesgos</t>
  </si>
  <si>
    <t>Identifican deficiencias en las maneras de  controlar los riesgos o problemas en sus procesos, programas o proyectos, y propone los ajustes necesarios</t>
  </si>
  <si>
    <t>4</t>
  </si>
  <si>
    <t>Para el manejo de los problemas que afectan el cumplimiento de las metas u objetivos institucionales (riesgos), el jefe de control interno o quien haga sus veces, ha podido evidenciar si en la entidad:</t>
  </si>
  <si>
    <t>Se definen espacios de reunión para conocerlos y proponer acciones para su solución</t>
  </si>
  <si>
    <t>Cada líder del equipo autónomamente toma las acciones para solucionarlos.</t>
  </si>
  <si>
    <t>En proceso</t>
  </si>
  <si>
    <t>Solamente hasta que un organismo de control actúa se definen acciones de mejora.</t>
  </si>
  <si>
    <t>5</t>
  </si>
  <si>
    <t>ACTIVIDADES DE CONTROL</t>
  </si>
  <si>
    <t>Una vez identificados los problemas que afectan el cumplimiento de los planes de la entidad o su gestión institucional, la entidad debe diseñar los controles o mecanismos para darles tratamiento. Para el caso de su entidad indique si se cuenta con:</t>
  </si>
  <si>
    <t>La definición de acciones o actividades para para dar tratamiento a los problemas identificados (mitigación de riesgos), incluyendo aquellos asociados a posibles actos de corrupción</t>
  </si>
  <si>
    <t>Mecanismos de verificación de si se están o no mitigando los riesgos, o en su defecto, elaboración de planes de contingencia para subsanar sus consecuencias</t>
  </si>
  <si>
    <t>Planes, acciones o estrategias que permitan subsanar las consecuencias de la materialización de los riesgos, cuando se presentan</t>
  </si>
  <si>
    <t>Un documento que consolide  los riesgos  y el tratamiento que se les da, incluyendo aquellos que conllevan posibles actos de corrupción y si la capacidad e infraestructura lo permite, los asociados con las tecnologías de la información y las comunicaciones</t>
  </si>
  <si>
    <t>Un plan anticorrupción y de servicio al ciudadano con los temas que le aplican, publicado en algún medio para conocimiento de la ciudadanía</t>
  </si>
  <si>
    <t>6</t>
  </si>
  <si>
    <t>INFORMACION Y COMUNICACIÓN</t>
  </si>
  <si>
    <t>Las entidades deben procurar, de acuerdo con sus propias capacidades internas, que la información y la comunicación que requiere para su gestión y  control interno fluya de manera clara.  Acorde con lo anterior, indique si se cuenta con:</t>
  </si>
  <si>
    <t>Responsables de la información institucional</t>
  </si>
  <si>
    <t>Canales de comunicación con los ciudadanos</t>
  </si>
  <si>
    <t>Canales de comunicación o mecanismos de reporte de información a otros organismos gubernamentales o de control</t>
  </si>
  <si>
    <t xml:space="preserve">Lineamientos para dar tratamiento a la información de carácter reservado </t>
  </si>
  <si>
    <t>Identificación de información que produce en el marco de su gestión (Para los ciudadanos, organismos de control, organismos gubernamentales, entre otros)</t>
  </si>
  <si>
    <t>Identificación de información necesaria para la operación de la entidad (normograma, presupuesto, talento humano, infraestructura física y tecnológica)</t>
  </si>
  <si>
    <t>Si su capacidad e infraestructura lo permite, tecnologías de la información y las comunicaciones que soporten estos procesos</t>
  </si>
  <si>
    <t>7</t>
  </si>
  <si>
    <t>ACTIVIDADES DE MONITOREO</t>
  </si>
  <si>
    <t>Las entidades deben valorar: la eficiencia y eficacia de su gestión y la efectividad del control interno de la entidad pública con el propósito de detectar desviaciones y generar recomendaciones para la mejora. Para el caso de su entidad indique si se cuenta con:</t>
  </si>
  <si>
    <t>Mecanismos de evaluación de la gestión (cronogramas, indicadores, listas de chequeo u otros)</t>
  </si>
  <si>
    <t>Algún mecanismo para monitorear o supervisar el sistema de control interno institucional, ya sea por parte del representante legal, o del área de control interno (si la entidad cuenta con ella), o bien a través del Comité departamental o municipal de Auditoría.</t>
  </si>
  <si>
    <t>Medidas correctivas en caso de detectarse deficiencias en los ejercicios de evaluación, seguimiento o auditoría</t>
  </si>
  <si>
    <t>Seguimiento a los planes de mejoramiento suscritos con instancias de control internas o externas</t>
  </si>
  <si>
    <t>8</t>
  </si>
  <si>
    <t>¿La entidad ha solicitado hacer parte del Comité Municipal de Auditoría, a efectos de contar con un escenario para compartir buenas prácticas en materia de control interno, así como analizar la viabilidad de contar como mínimo con un proceso auditor en la vigencia?</t>
  </si>
  <si>
    <t>La entidad participa en el  Comité Municipal de Auditoría?</t>
  </si>
  <si>
    <t>9</t>
  </si>
  <si>
    <t>El jefe de control interno o quien haga sus veces, ha podido evidenciar si en la entidad el manejo que se ha hecho a los problemas que afectan el cumplimiento de sus metas y objetivos (riesgos) le ha permitido:</t>
  </si>
  <si>
    <t>Evitar que los problemas (riesgos) obstaculicen el cumplimiento de los objetivos.</t>
  </si>
  <si>
    <t>Controlar los puntos críticos en los procesos.</t>
  </si>
  <si>
    <t>Diseñar acciones adecuadas para controlar los problemas que afectan el cumplimiento de las metas y objetivos institucionales (riesgos).</t>
  </si>
  <si>
    <t>Ejecutar las acciones de acuerdo a como se diseñaron previamente.</t>
  </si>
  <si>
    <t>No se gestionan los problemas que afectan el cumplimiento de las funciones y objetivos institucionales(riesgos).</t>
  </si>
  <si>
    <t>ANÁLISIS DE RESULTADOS PARA LA TOMA DE DECISIONES</t>
  </si>
  <si>
    <t>Se encuentra en proceso, pero requiere continuar con acciones dirigidas a contar con dicho aspecto de control.</t>
  </si>
  <si>
    <t>Se encuentra presente  y funcionando, pero requiere mejoras frente a su diseño, ya que  opera de manera efectiva</t>
  </si>
  <si>
    <t>No se encuentra el aspecto  por lo tanto la entidad debera generar acciones dirigidas a que se cumpla con el requerimiento.</t>
  </si>
  <si>
    <t>RESULTADOS</t>
  </si>
  <si>
    <t>FUENTE DEL ANALISIS</t>
  </si>
  <si>
    <t xml:space="preserve">Seguimiento al control </t>
  </si>
  <si>
    <t>OBSERVACIONES DEL CONTROL</t>
  </si>
  <si>
    <t>NIVEL DE CUMPLIMIENTO-ASPECTOS PARTICULARES POR COMPONENTE</t>
  </si>
  <si>
    <t>NIVEL DE CUMPLIMIENTO COMPONENTE</t>
  </si>
  <si>
    <t>componente</t>
  </si>
  <si>
    <t>Nombre de la Entidad:</t>
  </si>
  <si>
    <t>Periodo Evaluado:</t>
  </si>
  <si>
    <t>Estado del sistema de Control Interno de la entidad</t>
  </si>
  <si>
    <t>Conclusión general sobre la evaluación del Sistema de Control Interno</t>
  </si>
  <si>
    <t>¿Están todos los componentes operando juntos y de manera integrada? (Si / en proceso / No) (Justifique su respuesta):</t>
  </si>
  <si>
    <t>¿Es efectivo el sistema de control interno para los objetivos evaluados? (Si/No) (Justifique su respuesta):</t>
  </si>
  <si>
    <t>La entidad cuenta dentro de su Sistema de Control Interno, con una institucionalidad (Líneas de defensa)  que le permita la toma de decisiones frente al control (Si/No) (Justifique su respuesta):</t>
  </si>
  <si>
    <t>Componente</t>
  </si>
  <si>
    <t>¿se esta cumpliendo los requerimientos ?</t>
  </si>
  <si>
    <t>Nivel de Cumplimiento componente</t>
  </si>
  <si>
    <r>
      <rPr>
        <b/>
        <u/>
        <sz val="20"/>
        <color theme="0"/>
        <rFont val="Arial"/>
        <family val="2"/>
      </rPr>
      <t xml:space="preserve"> Estado actual:</t>
    </r>
    <r>
      <rPr>
        <b/>
        <sz val="20"/>
        <color theme="0"/>
        <rFont val="Arial"/>
        <family val="2"/>
      </rPr>
      <t xml:space="preserve"> Explicacion de las Debilidades y/o Fortalezas encontradas en cada componente</t>
    </r>
  </si>
  <si>
    <t>EVALUCION DEL RIESGO</t>
  </si>
  <si>
    <t>ACTIVIDADES DEL CONTROL</t>
  </si>
  <si>
    <t xml:space="preserve">ACTIVIDADES DE MONITOREO </t>
  </si>
  <si>
    <t xml:space="preserve">Evaluación </t>
  </si>
  <si>
    <t>Puntaje</t>
  </si>
  <si>
    <t xml:space="preserve">Orden </t>
  </si>
  <si>
    <t>Nivel de cumplimiento -Aaspectos particulares por componente</t>
  </si>
  <si>
    <t xml:space="preserve">Promedios </t>
  </si>
  <si>
    <t>1a</t>
  </si>
  <si>
    <t>1b</t>
  </si>
  <si>
    <t>1c</t>
  </si>
  <si>
    <t>1d</t>
  </si>
  <si>
    <t>1e</t>
  </si>
  <si>
    <t>1f</t>
  </si>
  <si>
    <t>1g</t>
  </si>
  <si>
    <t>1h</t>
  </si>
  <si>
    <t>1i</t>
  </si>
  <si>
    <t>1j</t>
  </si>
  <si>
    <t>1k</t>
  </si>
  <si>
    <t>1l</t>
  </si>
  <si>
    <t>2a</t>
  </si>
  <si>
    <t>La identificación de cambios en su entorno que pueden generar consecuencias negativas en su gestión</t>
  </si>
  <si>
    <t>2b</t>
  </si>
  <si>
    <t>La identificación de aquellos problemas o aspectos que pueden afectar el cumplimiento de los planes de la entidad y en general su gestión institucional (riesgos)</t>
  </si>
  <si>
    <t>2c</t>
  </si>
  <si>
    <t>La identificación  de los riesgos relacionados con posibles actos de corrupción en el ejercicio de sus funciones</t>
  </si>
  <si>
    <t>2d</t>
  </si>
  <si>
    <t>3a</t>
  </si>
  <si>
    <t>3b</t>
  </si>
  <si>
    <t>3c</t>
  </si>
  <si>
    <t>4a</t>
  </si>
  <si>
    <t>4b</t>
  </si>
  <si>
    <t>4c</t>
  </si>
  <si>
    <t>5a</t>
  </si>
  <si>
    <t>5b</t>
  </si>
  <si>
    <t>5c</t>
  </si>
  <si>
    <t>5d</t>
  </si>
  <si>
    <t>5e</t>
  </si>
  <si>
    <t>6a</t>
  </si>
  <si>
    <t>6b</t>
  </si>
  <si>
    <t>6c</t>
  </si>
  <si>
    <t>6d</t>
  </si>
  <si>
    <t>6e</t>
  </si>
  <si>
    <t>El jefe de control interno o quien haga sus veces, ha podido evidenciar si en la entidad si el manejo que se ha hecho a los problemas que afectan el cumplimiento de sus metas y objetivos (riesgos) le ha permitido:</t>
  </si>
  <si>
    <t>6f</t>
  </si>
  <si>
    <t>6g</t>
  </si>
  <si>
    <t>7a</t>
  </si>
  <si>
    <t>7d</t>
  </si>
  <si>
    <t>7f</t>
  </si>
  <si>
    <t>7g</t>
  </si>
  <si>
    <t>8h</t>
  </si>
  <si>
    <t>9a</t>
  </si>
  <si>
    <t>9b</t>
  </si>
  <si>
    <t>9c</t>
  </si>
  <si>
    <t>9d</t>
  </si>
  <si>
    <t>9e</t>
  </si>
  <si>
    <t>La empres a adoptado el MECI en todas sus dimenciones como lo  son Talento Humano, Direccionaminto estrategico, Gestion con valor para resultado, evaluacion de resultados, informacion y comunicación, gestion del conocimiento y control interno, aplicando las politicas de gestion y desempeño institucional, para tener grandes resultados</t>
  </si>
  <si>
    <t>El codigo de etica se actualizo para esta vigencia y el codigo de integridad, el cual se ha socializado con el personal del CDA</t>
  </si>
  <si>
    <t xml:space="preserve">Para la vigencia 2025, el CDA de Nariño implemento los 12 planes institucionales de acuerdo al decreto 612 de 2018, y se encuentran en ejecucion </t>
  </si>
  <si>
    <t>La estructura organica de la empresa se encuentra actualizada atendiendo las necesidades de la empresa</t>
  </si>
  <si>
    <t>El manual de funciones fue actualizado y aprobado para esta vigencia</t>
  </si>
  <si>
    <t xml:space="preserve">La empresa cuenta con un plan de accion y cada plan institucional cuenta con un cronograma, documento guia para validar el cumplimiento de actividades </t>
  </si>
  <si>
    <t>El CDA de Nariño solo cuenta con un servidor publico que es el representante legal el cual se encuentra por libre nombramiento, el demas personal son trabajadores oficiales y contratistas</t>
  </si>
  <si>
    <t>Dentro del plan institucional de capacitacion y el plan de incentivos institucionales se programaron las inducciones, reinducciones, capacitaciones y actividades de bienestar social para todo el personal del CDA de Nariño</t>
  </si>
  <si>
    <t>Como empresa se toma como base la evaluacion que realiza el ONAC organismo que nos acredita ya que no existe la obligatoriedad de evaluar al personal por no ser de carrera.</t>
  </si>
  <si>
    <t>En cuanto a los procesos de desvinculacion la empresa, los realiza teniendo encuenta las dispociociones legales como estatutos, obligaciones contractuales, manual de funciones, reglamento interno</t>
  </si>
  <si>
    <t>La empresa realiza cuenta con la rendicion de cuentas a los entes de control gubernamental, se encuentra en la construccion de mecanismos para la rendicion de cuentas a la ciudadania</t>
  </si>
  <si>
    <t>El CDA de Nariño presenta oportunamente los informs de gestion a los organismos de control y vigilancia, para evitar sanciones diciplinarias, fiscales o financieras</t>
  </si>
  <si>
    <t xml:space="preserve">se toma como base el sistema de gestion de la empresa, para evitar consecuencias que impacten negativamente a la empresa, dejando como lider al Supervisor tecnico de Calidad para analizar los cambios normativos en cuanto a la RTMyEC y tomar acciones  y medidas necesarias para implementar dichos cambios </t>
  </si>
  <si>
    <t>La empresa realiza un análisis del contexto interno y externo con el fin de identificar los factores que podrían afectar negativamente el cumplimiento de los objetivos y metas institucionales. A partir de este análisis, se priorizan los riesgos identificados y se adoptan decisiones orientadas a prevenir o mitigar su impacto, en el marco del fortalecimiento del control interno y la gestión eficiente de los procesos.</t>
  </si>
  <si>
    <t>Se han identificado los peligros asociados al uso de las tecnologías de la información y la comunicación (TIC), y se ha formulado un plan orientado a reducir los riesgos inherentes a esta área, fortaleciendo la seguridad, disponibilidad y continuidad de los servicios digitales</t>
  </si>
  <si>
    <t>La empresa se encuentra en un proceso de trancision al programa de etica y transparencia publica, el cual ayuda a identificar los factores que institucionales de actos de corrupción preveniendo riesgos</t>
  </si>
  <si>
    <t>El CDA de Nariño identifica y monitorea los riesgos que podrían comprometer la ejecución de sus procesos, programas, planes y proyectos, implementando acciones correctivas que garanticen su mitigación y el logro de los objetivos institucionales.</t>
  </si>
  <si>
    <t>Durante el primer semestre de esta vigencia se realiza el seguimiento a los planes institucionales y planes de accion de manera trimestral, para evaluar y socializar el desempeño y ejecucion de los mismos</t>
  </si>
  <si>
    <t>Acorde a la evaluacion de seguimiento a los planes institucionales de manera trimestral, se logran identificar y controlar los riesgos que pueden causar problemas a la empresa</t>
  </si>
  <si>
    <t>Desde gerencia se realiza mesas de trabajo para tomar medidas de precausion y realizar acciones de mejora</t>
  </si>
  <si>
    <t>Cara area tiene un lider asignado, el cual informa a gerencias las acciones de mejora que se deben tomar para ser apoyado en caso de requerirlo para abordar cualquier posible riesgo</t>
  </si>
  <si>
    <t>Las acciones no se limitan únicamente a los avances identificados en las auditorías de los organismos de control; también se desarrollan planes de mejora en función de los resultados proporcionados por la Oficina de Control Interno.</t>
  </si>
  <si>
    <t>El seguimiento a los planes institucionales es socializado con gerencia por parte de la oficina de control interno suministrando la informacion de los riesgos en los cuales se encuentra la empresa, para que se tomen acciones de mejora y mitigar los riesgos</t>
  </si>
  <si>
    <t xml:space="preserve">se realiza el seguimiento trimestral del plan de accion, analizando los indicadores de cumplimiento, para mitigar los riesgos con reacciones oportunas </t>
  </si>
  <si>
    <t>En el Manual de Administración del Riesgo y en los mapas de riesgo, se encuentran identificados todos los riesgos y su administración.</t>
  </si>
  <si>
    <t>En el Manual de Administración del Riesgo y en los mapas de riesgo, se encuentran  las acciones y/o estategias para evitar las consecuencias de la materialización de los riesgos</t>
  </si>
  <si>
    <t>La empresa para la vigencia 2025 esta en proceso de transicion del plan anticorrupcion y atencion al ciudadano al programa de transparencia y etica publica</t>
  </si>
  <si>
    <t>Cada tranajador tiene definido su roll de los cuales existen responsables del manejo de nuestra información. Contamos con políticas escritas y personal capacitado para asegurar que los datos sean confiables y transparentes, lo cual es clave para nuestro control interno y la calidad de nuestros servicios.</t>
  </si>
  <si>
    <t>Los canales de comunicación con los usuario son la Buzon de sgerencias, pagina web: www.cdanar.gov.co, correos electronicos, redes sociales como lo son Facebook, instagram, whatsapp y las lineas telefonicas</t>
  </si>
  <si>
    <t>la empres cuenta con el acceso alos portales de cada entidad de inspección, vigilancia y control y los correos institucionales</t>
  </si>
  <si>
    <t>la empresa se para el tratamiento de la informacion tiene como base los planes de Plan Estratégico de Tecnologías de la Información y las Comunicaciones -­ PETI, Plan de Tratamiento de Riesgos de Seguridad y Privacidad de la Información y Plan de Seguridad y Privacidad de la Información</t>
  </si>
  <si>
    <t>Toda la información producida en el marco de la gestión se encuentra disponible en los medios digitales a traves de programas del area operativa y del area financiera</t>
  </si>
  <si>
    <t>La información interna se encuentra plenamente identificada a través de mecanismos como las normas institucionales y laborales, las descripciones de cargos y funciones del personal, el análisis de grupos de interés, y los inventarios de bienes de consumo y bienes devueltos.</t>
  </si>
  <si>
    <t>La empresa cuenta con su página web que se mantiene actualizada</t>
  </si>
  <si>
    <t>Se realiza seguimiento de cumplimiento de manera trimestral emitiendo un informe a gerencia</t>
  </si>
  <si>
    <t>La empresa no cuenta con un área de Control Interno, y la gerencia obtiene información sobre el estado del sistema a través de los informes presentados a los organismos de control.</t>
  </si>
  <si>
    <t>No se cuentan con mecanismos que permitan detectarse deficiencias en el ejercicio de evaluación, seguimiento o auditoría</t>
  </si>
  <si>
    <t>La empresa realiza seguimiento a los planes de mejroamiento en el tiempo determinado para evitar sanciones</t>
  </si>
  <si>
    <t>Según los decreto 1052 de 2017 y 147 del 2 de abril de 2018, el Asesor de Control Interno del Centro de Diagnóstico Automotor de Nariño Ltda., conforma el Comité Departamental de Auditoría en el Departamento de Nariño</t>
  </si>
  <si>
    <t>En las reuniones de autoevaluación de la gestión se han adoptado las medidas necesarias para minimizar los riesgos y evitar que estos afecten el cumplimiento de los objetivos institucionales.</t>
  </si>
  <si>
    <t>Dentro del componente misional, se ha logrado ejercer control sobre los puntos críticos del proceso de revisión, tomando como referencia las inconformidades señaladas por la ONAC, lo que ha contribuido al fortalecimiento de los controles y a la mejora continua del sistema.</t>
  </si>
  <si>
    <t>Los planes de mejoramiento generados a partir de las auditorías realizadas han facilitado a la Oficina de Control Interno la formulación de acciones correctivas y preventivas, orientadas a mitigar los factores que inciden negativamente en el logro de los objetivos estratégicos de la entidad.</t>
  </si>
  <si>
    <t>La ejecución de acciones frente a los riesgos identificados se realiza en articulación con gerencia, como parte del compromiso institucional con la gestión oportuna y efectiva del riesgo.</t>
  </si>
  <si>
    <t>La gestión de las acciones se realiza en el marco de las políticas definidas por el Modelo Integrado de Planeación y Gestión (MIPG), en articulación con los lineamientos del Modelo Estándar de Control Interno (MECI), como parte del proceso de integración y fortalecimiento del sistema de control institucional</t>
  </si>
  <si>
    <t>El Sistema de Control Interno es efectivo para los objetivos evaluados, en la medida en que:
Se evidencia el cumplimiento mayoritario de los requerimientos de los componentes del MECI, con aproximadamente el 85% de los ítems en “Mantenimiento del control”.
La entidad cuenta con planes estratégicos y operativos actualizados, mapas de riesgos, manuales, y acciones de mejora derivados de auditorías, que se implementan y se hacen seguimiento.
Existen mecanismos de identificación, evaluación y control de riesgos, incluyendo los relacionados con actos de corrupción y tecnologías de la información, lo cual contribuye al cumplimiento de los objetivos institucionales.
La oficina de control interno participa activamente en la gestión de riesgos y planes de mejora, y se aplican acciones preventivas y correctivas cuando se identifican amenazas al cumplimiento de los objetivos.
Sin embargo, se identifican algunas debilidades (como la ausencia de rendición de cuentas a la ciudadanía y de mecanismos de evaluación correctiva formal), que si bien no comprometen la efectividad general, sí representan áreas de mejora para fortalecer el sistema y asegurar su sostenibilidad.</t>
  </si>
  <si>
    <t>Si bien la mayoría de los componentes del Modelo Estándar de Control Interno (MECI) están implementados y en mantenimiento del control, existen elementos clave que aún se encuentran en proceso de formalización o presentan deficiencias, lo que impide afirmar que el sistema opera de manera plenamente integrada.
Se identifican ítems “en proceso” dentro del componente Ambiente de Control, como el organigrama y el manual de funciones, los cuales son fundamentales para el funcionamiento articulado del sistema.
Asimismo, hay deficiencias en el componente de Actividades de Monitoreo, relacionadas con la ausencia de mecanismos formales de supervisión del SCI por parte de la gerencia, así como la falta de medidas correctivas ante hallazgos de auditoría o seguimiento.
También se evidenció que no existe un procedimiento formal de rendición de cuentas a la ciudadanía, lo cual afecta la integración del componente de Información y Comunicación con la gestión organizacional.
Por tanto, aunque existe un avance significativo y una estructura funcional, los componentes aún no operan de forma completamente integrada y articulada, y se requiere fortalecer ciertos aspectos para lograr una operación sistémica y cohesionada del SCI.</t>
  </si>
  <si>
    <t>Aunque la entidad ha implementado varios elementos del Sistema de Control Interno, no cuenta con una institucionalidad completa basada en el modelo de líneas de defensa, lo cual limita la capacidad estructurada para la toma de decisiones frente al control. Esto se evidencia en los siguientes aspectos:
No existe una Oficina formal de Control Interno, lo que implica la ausencia de una tercera línea de defensa independiente que evalúe de manera objetiva la eficacia del sistema y emita recomendaciones directas a la alta dirección.</t>
  </si>
  <si>
    <t xml:space="preserve">El componente de Ambiente de Control presenta fortalezas importantes que evidencian un avance estructural en el funcionamiento del Sistema de Control Interno. Entre ellas se destaca la adopción del MECI integrado al Modelo Integrado de Planeación y Gestión (MIPG), la existencia de un Código de Integridad institucional, y la formulación de planes estratégicos y operativos actualizados. Además, se cuenta con documentación de procesos, mecanismos de inducción, capacitación y bienestar laboral, así como procedimientos ajustados a la normativa para la vinculación y desvinculación del personal. Estas condiciones favorecen el cumplimiento de los objetivos institucionales y fortalecen la cultura del control.
Sin embargo, también se identifican debilidades que limitan su consolidación. Persisten aspectos estructurales pendientes como la aprobación formal del organigrama y del manual de funciones, lo cual impide una definición clara de responsabilidades. A su vez, la ausencia de un procedimiento de rendición de cuentas a la ciudadanía y la falta de una oficina formal de control interno dificultan el seguimiento efectivo del sistema y la supervisión independiente. Por lo tanto, aunque se evidencian avances significativos, el ambiente de control aún se encuentra en proceso de fortalecimiento, y requiere acciones orientadas a formalizar su estructura organizacional, mejorar la transparencia y consolidar la institucionalidad del control.
</t>
  </si>
  <si>
    <t xml:space="preserve">El componente de Actividades de Monitoreo presenta avances en su implementación, especialmente en lo relacionado con la evaluación de la gestión institucional y el seguimiento a los planes de mejoramiento. Como fortalezas se destaca el uso de herramientas como matrices del Plan Estratégico y del Plan de Acción, que incluyen cronogramas, indicadores, responsables y metas, lo cual permite hacer seguimiento a los resultados. También se realiza un monitoreo continuo a los planes de mejoramiento derivados de auditorías, evidenciando compromiso con la mejora continua, y la entidad participa activamente en el Comité Departamental de Auditoría, lo que favorece el intercambio de buenas prácticas.
No obstante, se identifican debilidades importantes que afectan el monitoreo integral del Sistema de Control Interno. En primer lugar, la empresa no cuenta con un área formal de Control Interno, lo que limita la existencia de una supervisión independiente y objetiva del SCI. Además, no se han establecido mecanismos formales para detectar y corregir deficiencias encontradas en procesos de evaluación, seguimiento o auditoría. Esto impide una retroalimentación eficaz del sistema y limita la capacidad de respuesta oportuna ante desviaciones. 
</t>
  </si>
  <si>
    <t xml:space="preserve">El componente de Información y Comunicación se encuentra implementado en la entidad y cumple con los requerimientos establecidos por el MECI. Se destacan como fortalezas la existencia de un Manual de Información y Comunicación que define las responsabilidades institucionales, la disponibilidad de canales de comunicación internos y externos (correo electrónico, teléfonos, página web, buzón de PQRS, atención personalizada), y la articulación con entidades de control a través de portales institucionales. También se cuenta con lineamientos para el tratamiento de la información reservada y mecanismos para identificar la información generada y necesaria para la gestión institucional.
No obstante, se identifica una debilidad tecnológica puntual: aunque la entidad cuenta con una página web institucional en funcionamiento, requiere acciones para mantenerla actualizada y optimizar su contenido, lo que podría afectar la oportunidad y calidad de la información suministrada a los ciudadanos y entes de control. </t>
  </si>
  <si>
    <t>El componente de Actividades de Control se encuentra implementado de manera sólida en la entidad. Se evidencia la existencia de mecanismos definidos para mitigar riesgos, documentados en el Manual de Administración del Riesgo y los mapas de riesgo institucional y de corrupción. Asimismo, se han diseñado e implementado planes, acciones y estrategias para dar tratamiento a los riesgos identificados, incluyendo aquellos asociados a la corrupción y a las tecnologías de la información. La entidad también cuenta con un Plan Anticorrupción y de Atención al Ciudadano, publicado para consulta de la ciudadanía, lo que demuestra un compromiso con la transparencia y el control preventivo.
No se evidencian debilidades dentro de este componente en la matriz evaluada, lo que indica que las actividades de control han sido concebidas, documentadas y aplicadas de forma adecuada. Sin embargo, es importante asegurar que estos controles sean revisados periódicamente para verificar su efectividad y pertinencia frente a los riesgos emergentes.</t>
  </si>
  <si>
    <t xml:space="preserve">El componente de Evaluación del Riesgo muestra un grado importante de implementación en la entidad. Se evidencian fortalezas como la identificación de riesgos institucionales, incluidos los relacionados con corrupción y tecnologías de la información, documentados en el Manual de Administración del Riesgo y sus respectivos mapas. Se cuenta con responsables definidos (Supervisor Técnico y Jefe de Pista), quienes realizan seguimiento, informan periódicamente y participan en sesiones de autoevaluación para proponer acciones preventivas y correctivas. Además, existe articulación entre la evaluación de riesgos y los planes de mejora derivados de auditorías, lo cual favorece el cumplimiento de los objetivos institucionales.
No obstante, se identifican debilidades puntuales. La principal es la falta de identificación sistemática de deficiencias en los controles existentes, lo cual impide proponer ajustes oportunos y eficaces en los procesos. Aunque se reconocen riesgos y se toman medidas, no hay un proceso estructurado para evaluar la efectividad de los controles implementados, lo que limita la mejora continua.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</si>
</sst>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58" x14ac:knownFonts="1">
    <font>
      <sz val="11"/>
      <color theme="1"/>
      <name val="Calibri"/>
      <family val="2"/>
      <scheme val="minor"/>
    </font>
    <font>
      <sz val="11"/>
      <name val="Arial"/>
      <family val="2"/>
    </font>
    <font>
      <b/>
      <sz val="12"/>
      <name val="Arial"/>
      <family val="2"/>
    </font>
    <font>
      <sz val="11"/>
      <color theme="1"/>
      <name val="Calibri"/>
      <family val="2"/>
      <scheme val="minor"/>
    </font>
    <font>
      <sz val="11"/>
      <color theme="0"/>
      <name val="Calibri"/>
      <family val="2"/>
      <scheme val="minor"/>
    </font>
    <font>
      <b/>
      <sz val="12"/>
      <color theme="0"/>
      <name val="Arial"/>
      <family val="2"/>
    </font>
    <font>
      <b/>
      <sz val="20"/>
      <color theme="0"/>
      <name val="Arial Narrow"/>
      <family val="2"/>
    </font>
    <font>
      <sz val="11"/>
      <color theme="1"/>
      <name val="Arial Narrow"/>
      <family val="2"/>
    </font>
    <font>
      <sz val="11"/>
      <color theme="0"/>
      <name val="Arial Narrow"/>
      <family val="2"/>
    </font>
    <font>
      <b/>
      <sz val="18"/>
      <color theme="0"/>
      <name val="Arial"/>
      <family val="2"/>
    </font>
    <font>
      <sz val="20"/>
      <color rgb="FFFF0000"/>
      <name val="Arial"/>
      <family val="2"/>
    </font>
    <font>
      <b/>
      <sz val="12"/>
      <color rgb="FFFF0000"/>
      <name val="Arial"/>
      <family val="2"/>
    </font>
    <font>
      <b/>
      <sz val="10"/>
      <color rgb="FFFF0000"/>
      <name val="Arial"/>
      <family val="2"/>
    </font>
    <font>
      <b/>
      <sz val="10"/>
      <color theme="1"/>
      <name val="Arial"/>
      <family val="2"/>
    </font>
    <font>
      <b/>
      <sz val="16"/>
      <color theme="1"/>
      <name val="Arial"/>
      <family val="2"/>
    </font>
    <font>
      <b/>
      <i/>
      <sz val="10"/>
      <name val="Arial"/>
      <family val="2"/>
    </font>
    <font>
      <b/>
      <i/>
      <sz val="10"/>
      <color theme="1"/>
      <name val="Arial"/>
      <family val="2"/>
    </font>
    <font>
      <b/>
      <sz val="16"/>
      <color theme="0"/>
      <name val="Arial Narrow"/>
      <family val="2"/>
    </font>
    <font>
      <b/>
      <sz val="12"/>
      <color theme="0"/>
      <name val="Arial Narrow"/>
      <family val="2"/>
    </font>
    <font>
      <b/>
      <sz val="10"/>
      <color theme="0"/>
      <name val="Arial Narrow"/>
      <family val="2"/>
    </font>
    <font>
      <sz val="12"/>
      <color theme="1"/>
      <name val="Arial"/>
      <family val="2"/>
    </font>
    <font>
      <sz val="10"/>
      <color theme="1"/>
      <name val="Calibri"/>
      <family val="2"/>
      <scheme val="minor"/>
    </font>
    <font>
      <sz val="10"/>
      <color theme="0"/>
      <name val="Arial Narrow"/>
      <family val="2"/>
    </font>
    <font>
      <sz val="14"/>
      <color theme="0"/>
      <name val="Arial"/>
      <family val="2"/>
    </font>
    <font>
      <sz val="10"/>
      <color theme="1"/>
      <name val="Arial Narrow"/>
      <family val="2"/>
    </font>
    <font>
      <b/>
      <sz val="11"/>
      <name val="Arial Narrow"/>
      <family val="2"/>
    </font>
    <font>
      <sz val="10"/>
      <name val="Arial Narrow"/>
      <family val="2"/>
    </font>
    <font>
      <sz val="16"/>
      <color theme="0"/>
      <name val="Calibri"/>
      <family val="2"/>
      <scheme val="minor"/>
    </font>
    <font>
      <b/>
      <sz val="18"/>
      <name val="Calibri"/>
      <family val="2"/>
      <scheme val="minor"/>
    </font>
    <font>
      <sz val="10"/>
      <name val="Arial"/>
      <family val="2"/>
    </font>
    <font>
      <b/>
      <sz val="14"/>
      <name val="Arial Narrow"/>
      <family val="2"/>
    </font>
    <font>
      <b/>
      <u/>
      <sz val="11"/>
      <name val="Arial Narrow"/>
      <family val="2"/>
    </font>
    <font>
      <b/>
      <sz val="10"/>
      <name val="Arial Narrow"/>
      <family val="2"/>
    </font>
    <font>
      <sz val="12"/>
      <name val="Times New Roman"/>
      <family val="1"/>
    </font>
    <font>
      <b/>
      <sz val="9"/>
      <name val="Arial Narrow"/>
      <family val="2"/>
    </font>
    <font>
      <sz val="9"/>
      <name val="Arial Narrow"/>
      <family val="2"/>
    </font>
    <font>
      <sz val="11"/>
      <name val="Arial Narrow"/>
      <family val="2"/>
    </font>
    <font>
      <b/>
      <sz val="10"/>
      <color theme="1"/>
      <name val="Arial Narrow"/>
      <family val="2"/>
    </font>
    <font>
      <sz val="15"/>
      <name val="Arial Narrow"/>
      <family val="2"/>
    </font>
    <font>
      <sz val="15"/>
      <color theme="1"/>
      <name val="Arial Narrow"/>
      <family val="2"/>
    </font>
    <font>
      <sz val="8"/>
      <name val="Calibri"/>
      <family val="2"/>
      <scheme val="minor"/>
    </font>
    <font>
      <b/>
      <sz val="18"/>
      <color theme="1"/>
      <name val="Calibri"/>
      <family val="2"/>
      <scheme val="minor"/>
    </font>
    <font>
      <b/>
      <sz val="20"/>
      <name val="Arial"/>
      <family val="2"/>
    </font>
    <font>
      <sz val="18"/>
      <name val="Arial Narrow"/>
      <family val="2"/>
    </font>
    <font>
      <sz val="12"/>
      <color theme="0"/>
      <name val="Arial Narrow"/>
      <family val="2"/>
    </font>
    <font>
      <b/>
      <sz val="14"/>
      <color theme="0"/>
      <name val="Arial Narrow"/>
      <family val="2"/>
    </font>
    <font>
      <sz val="12"/>
      <name val="Arial Narrow"/>
      <family val="2"/>
    </font>
    <font>
      <sz val="12"/>
      <color theme="1"/>
      <name val="Arial Narrow"/>
      <family val="2"/>
    </font>
    <font>
      <sz val="14"/>
      <color theme="1"/>
      <name val="Calibri"/>
      <family val="2"/>
      <scheme val="minor"/>
    </font>
    <font>
      <b/>
      <sz val="14"/>
      <name val="Arial"/>
      <family val="2"/>
    </font>
    <font>
      <sz val="18"/>
      <color theme="1"/>
      <name val="Arial"/>
      <family val="2"/>
    </font>
    <font>
      <b/>
      <sz val="24"/>
      <color theme="0"/>
      <name val="Arial Narrow"/>
      <family val="2"/>
    </font>
    <font>
      <b/>
      <sz val="20"/>
      <color theme="0"/>
      <name val="Arial"/>
      <family val="2"/>
    </font>
    <font>
      <sz val="20"/>
      <color theme="1"/>
      <name val="Calibri"/>
      <family val="2"/>
      <scheme val="minor"/>
    </font>
    <font>
      <b/>
      <u/>
      <sz val="20"/>
      <color theme="0"/>
      <name val="Arial"/>
      <family val="2"/>
    </font>
    <font>
      <sz val="25"/>
      <color theme="1"/>
      <name val="Calibri"/>
      <family val="2"/>
      <scheme val="minor"/>
    </font>
    <font>
      <sz val="25"/>
      <color theme="1"/>
      <name val="Arial Narrow"/>
      <family val="2"/>
    </font>
    <font>
      <sz val="12"/>
      <name val="Arial"/>
      <family val="2"/>
    </font>
  </fonts>
  <fills count="17">
    <fill>
      <patternFill patternType="none"/>
    </fill>
    <fill>
      <patternFill patternType="gray125"/>
    </fill>
    <fill>
      <patternFill patternType="solid">
        <fgColor theme="3" tint="0.39997558519241921"/>
        <bgColor indexed="64"/>
      </patternFill>
    </fill>
    <fill>
      <patternFill patternType="solid">
        <fgColor theme="3" tint="0.59999389629810485"/>
        <bgColor indexed="64"/>
      </patternFill>
    </fill>
    <fill>
      <patternFill patternType="solid">
        <fgColor theme="0"/>
        <bgColor indexed="64"/>
      </patternFill>
    </fill>
    <fill>
      <patternFill patternType="solid">
        <fgColor theme="4"/>
        <bgColor indexed="64"/>
      </patternFill>
    </fill>
    <fill>
      <patternFill patternType="solid">
        <fgColor rgb="FFFFC000"/>
        <bgColor indexed="64"/>
      </patternFill>
    </fill>
    <fill>
      <patternFill patternType="solid">
        <fgColor rgb="FFFFFF00"/>
        <bgColor indexed="64"/>
      </patternFill>
    </fill>
    <fill>
      <patternFill patternType="solid">
        <fgColor rgb="FFFF0000"/>
        <bgColor indexed="64"/>
      </patternFill>
    </fill>
    <fill>
      <patternFill patternType="solid">
        <fgColor theme="5" tint="-0.249977111117893"/>
        <bgColor indexed="64"/>
      </patternFill>
    </fill>
    <fill>
      <patternFill patternType="solid">
        <fgColor theme="6" tint="-0.249977111117893"/>
        <bgColor indexed="64"/>
      </patternFill>
    </fill>
    <fill>
      <patternFill patternType="solid">
        <fgColor theme="7" tint="-0.249977111117893"/>
        <bgColor indexed="64"/>
      </patternFill>
    </fill>
    <fill>
      <patternFill patternType="solid">
        <fgColor theme="4" tint="-0.249977111117893"/>
        <bgColor indexed="64"/>
      </patternFill>
    </fill>
    <fill>
      <patternFill patternType="solid">
        <fgColor rgb="FFFFCC00"/>
        <bgColor indexed="64"/>
      </patternFill>
    </fill>
    <fill>
      <patternFill patternType="solid">
        <fgColor rgb="FF00B050"/>
        <bgColor indexed="64"/>
      </patternFill>
    </fill>
    <fill>
      <patternFill patternType="solid">
        <fgColor rgb="FF83A343"/>
        <bgColor indexed="64"/>
      </patternFill>
    </fill>
    <fill>
      <patternFill patternType="solid">
        <fgColor theme="9" tint="0.39997558519241921"/>
        <bgColor indexed="64"/>
      </patternFill>
    </fill>
  </fills>
  <borders count="94">
    <border>
      <left/>
      <right/>
      <top/>
      <bottom/>
      <diagonal/>
    </border>
    <border>
      <left/>
      <right/>
      <top style="medium">
        <color auto="1"/>
      </top>
      <bottom style="medium">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auto="1"/>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medium">
        <color auto="1"/>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rgb="FF81829A"/>
      </left>
      <right/>
      <top style="thin">
        <color rgb="FF81829A"/>
      </top>
      <bottom style="thin">
        <color indexed="64"/>
      </bottom>
      <diagonal/>
    </border>
    <border>
      <left/>
      <right/>
      <top style="thin">
        <color rgb="FF81829A"/>
      </top>
      <bottom style="thin">
        <color indexed="64"/>
      </bottom>
      <diagonal/>
    </border>
    <border>
      <left/>
      <right style="thin">
        <color rgb="FF81829A"/>
      </right>
      <top style="thin">
        <color rgb="FF81829A"/>
      </top>
      <bottom style="thin">
        <color indexed="64"/>
      </bottom>
      <diagonal/>
    </border>
    <border>
      <left/>
      <right/>
      <top style="thin">
        <color auto="1"/>
      </top>
      <bottom/>
      <diagonal/>
    </border>
    <border>
      <left style="thin">
        <color rgb="FF81829A"/>
      </left>
      <right style="thin">
        <color rgb="FF81829A"/>
      </right>
      <top style="thin">
        <color rgb="FF81829A"/>
      </top>
      <bottom style="thin">
        <color rgb="FF81829A"/>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medium">
        <color indexed="64"/>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right/>
      <top style="medium">
        <color indexed="64"/>
      </top>
      <bottom style="hair">
        <color indexed="64"/>
      </bottom>
      <diagonal/>
    </border>
    <border>
      <left style="hair">
        <color indexed="64"/>
      </left>
      <right style="hair">
        <color indexed="64"/>
      </right>
      <top style="medium">
        <color indexed="64"/>
      </top>
      <bottom/>
      <diagonal/>
    </border>
    <border>
      <left style="hair">
        <color indexed="64"/>
      </left>
      <right style="medium">
        <color indexed="64"/>
      </right>
      <top style="medium">
        <color indexed="64"/>
      </top>
      <bottom style="hair">
        <color indexed="64"/>
      </bottom>
      <diagonal/>
    </border>
    <border>
      <left style="hair">
        <color indexed="64"/>
      </left>
      <right style="hair">
        <color indexed="64"/>
      </right>
      <top/>
      <bottom/>
      <diagonal/>
    </border>
    <border>
      <left style="hair">
        <color indexed="64"/>
      </left>
      <right style="medium">
        <color indexed="64"/>
      </right>
      <top style="hair">
        <color indexed="64"/>
      </top>
      <bottom/>
      <diagonal/>
    </border>
    <border>
      <left style="medium">
        <color indexed="64"/>
      </left>
      <right style="dashed">
        <color indexed="64"/>
      </right>
      <top style="medium">
        <color indexed="64"/>
      </top>
      <bottom style="medium">
        <color indexed="64"/>
      </bottom>
      <diagonal/>
    </border>
    <border>
      <left style="dashed">
        <color indexed="64"/>
      </left>
      <right style="dashed">
        <color indexed="64"/>
      </right>
      <top style="medium">
        <color indexed="64"/>
      </top>
      <bottom style="medium">
        <color indexed="64"/>
      </bottom>
      <diagonal/>
    </border>
    <border>
      <left style="dashed">
        <color indexed="64"/>
      </left>
      <right style="medium">
        <color indexed="64"/>
      </right>
      <top style="medium">
        <color indexed="64"/>
      </top>
      <bottom style="medium">
        <color indexed="64"/>
      </bottom>
      <diagonal/>
    </border>
    <border>
      <left style="medium">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medium">
        <color indexed="64"/>
      </right>
      <top/>
      <bottom style="dashed">
        <color indexed="64"/>
      </bottom>
      <diagonal/>
    </border>
    <border>
      <left style="medium">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medium">
        <color indexed="64"/>
      </left>
      <right style="dashed">
        <color indexed="64"/>
      </right>
      <top style="dashed">
        <color indexed="64"/>
      </top>
      <bottom style="medium">
        <color indexed="64"/>
      </bottom>
      <diagonal/>
    </border>
    <border>
      <left style="dashed">
        <color indexed="64"/>
      </left>
      <right style="dashed">
        <color indexed="64"/>
      </right>
      <top style="dashed">
        <color indexed="64"/>
      </top>
      <bottom style="medium">
        <color indexed="64"/>
      </bottom>
      <diagonal/>
    </border>
    <border>
      <left style="dashed">
        <color indexed="64"/>
      </left>
      <right style="medium">
        <color indexed="64"/>
      </right>
      <top style="dashed">
        <color indexed="64"/>
      </top>
      <bottom style="medium">
        <color indexed="64"/>
      </bottom>
      <diagonal/>
    </border>
    <border>
      <left/>
      <right/>
      <top style="medium">
        <color indexed="64"/>
      </top>
      <bottom style="thin">
        <color indexed="64"/>
      </bottom>
      <diagonal/>
    </border>
    <border>
      <left style="dashed">
        <color indexed="64"/>
      </left>
      <right/>
      <top style="dashed">
        <color indexed="64"/>
      </top>
      <bottom style="dashed">
        <color indexed="64"/>
      </bottom>
      <diagonal/>
    </border>
    <border>
      <left/>
      <right style="medium">
        <color indexed="64"/>
      </right>
      <top style="dashed">
        <color indexed="64"/>
      </top>
      <bottom style="dashed">
        <color indexed="64"/>
      </bottom>
      <diagonal/>
    </border>
    <border>
      <left style="medium">
        <color indexed="64"/>
      </left>
      <right/>
      <top style="medium">
        <color indexed="64"/>
      </top>
      <bottom style="thin">
        <color indexed="64"/>
      </bottom>
      <diagonal/>
    </border>
    <border>
      <left style="medium">
        <color indexed="64"/>
      </left>
      <right/>
      <top/>
      <bottom/>
      <diagonal/>
    </border>
    <border>
      <left/>
      <right style="medium">
        <color indexed="64"/>
      </right>
      <top/>
      <bottom/>
      <diagonal/>
    </border>
    <border>
      <left style="double">
        <color indexed="64"/>
      </left>
      <right/>
      <top style="double">
        <color indexed="64"/>
      </top>
      <bottom/>
      <diagonal/>
    </border>
    <border>
      <left/>
      <right style="thin">
        <color theme="0"/>
      </right>
      <top style="double">
        <color indexed="64"/>
      </top>
      <bottom/>
      <diagonal/>
    </border>
    <border>
      <left style="thin">
        <color theme="0"/>
      </left>
      <right/>
      <top style="double">
        <color indexed="64"/>
      </top>
      <bottom style="thin">
        <color indexed="64"/>
      </bottom>
      <diagonal/>
    </border>
    <border>
      <left/>
      <right style="double">
        <color indexed="64"/>
      </right>
      <top style="double">
        <color indexed="64"/>
      </top>
      <bottom style="thin">
        <color indexed="64"/>
      </bottom>
      <diagonal/>
    </border>
    <border>
      <left style="hair">
        <color indexed="64"/>
      </left>
      <right/>
      <top style="thin">
        <color indexed="64"/>
      </top>
      <bottom style="hair">
        <color indexed="64"/>
      </bottom>
      <diagonal/>
    </border>
    <border>
      <left/>
      <right style="double">
        <color indexed="64"/>
      </right>
      <top style="thin">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auto="1"/>
      </left>
      <right/>
      <top style="hair">
        <color auto="1"/>
      </top>
      <bottom style="hair">
        <color auto="1"/>
      </bottom>
      <diagonal/>
    </border>
    <border>
      <left/>
      <right style="double">
        <color indexed="64"/>
      </right>
      <top style="hair">
        <color indexed="64"/>
      </top>
      <bottom style="hair">
        <color indexed="64"/>
      </bottom>
      <diagonal/>
    </border>
    <border>
      <left/>
      <right/>
      <top style="dashed">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double">
        <color indexed="64"/>
      </left>
      <right/>
      <top style="thin">
        <color indexed="64"/>
      </top>
      <bottom style="hair">
        <color indexed="64"/>
      </bottom>
      <diagonal/>
    </border>
    <border>
      <left/>
      <right style="hair">
        <color indexed="64"/>
      </right>
      <top style="thin">
        <color indexed="64"/>
      </top>
      <bottom style="hair">
        <color indexed="64"/>
      </bottom>
      <diagonal/>
    </border>
    <border>
      <left style="double">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bottom/>
      <diagonal/>
    </border>
    <border>
      <left style="hair">
        <color indexed="64"/>
      </left>
      <right style="hair">
        <color indexed="64"/>
      </right>
      <top style="hair">
        <color indexed="64"/>
      </top>
      <bottom/>
      <diagonal/>
    </border>
    <border>
      <left style="medium">
        <color indexed="64"/>
      </left>
      <right style="hair">
        <color indexed="64"/>
      </right>
      <top style="hair">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s>
  <cellStyleXfs count="5">
    <xf numFmtId="0" fontId="0" fillId="0" borderId="0"/>
    <xf numFmtId="9" fontId="3" fillId="0" borderId="0" applyFont="0" applyFill="0" applyBorder="0" applyAlignment="0" applyProtection="0"/>
    <xf numFmtId="0" fontId="21" fillId="0" borderId="0"/>
    <xf numFmtId="0" fontId="29" fillId="0" borderId="0"/>
    <xf numFmtId="0" fontId="33" fillId="0" borderId="0"/>
  </cellStyleXfs>
  <cellXfs count="321">
    <xf numFmtId="0" fontId="0" fillId="0" borderId="0" xfId="0"/>
    <xf numFmtId="0" fontId="0" fillId="4" borderId="0" xfId="0" applyFill="1"/>
    <xf numFmtId="0" fontId="0" fillId="4" borderId="17" xfId="0" applyFill="1" applyBorder="1"/>
    <xf numFmtId="0" fontId="0" fillId="4" borderId="18" xfId="0" applyFill="1" applyBorder="1"/>
    <xf numFmtId="0" fontId="0" fillId="4" borderId="19" xfId="0" applyFill="1" applyBorder="1"/>
    <xf numFmtId="0" fontId="0" fillId="4" borderId="20" xfId="0" applyFill="1" applyBorder="1"/>
    <xf numFmtId="0" fontId="7" fillId="4" borderId="0" xfId="0" applyFont="1" applyFill="1" applyAlignment="1">
      <alignment horizontal="center"/>
    </xf>
    <xf numFmtId="0" fontId="0" fillId="4" borderId="21" xfId="0" applyFill="1" applyBorder="1"/>
    <xf numFmtId="164" fontId="7" fillId="4" borderId="0" xfId="0" applyNumberFormat="1" applyFont="1" applyFill="1" applyAlignment="1">
      <alignment horizontal="center"/>
    </xf>
    <xf numFmtId="0" fontId="8" fillId="4" borderId="0" xfId="0" applyFont="1" applyFill="1" applyAlignment="1">
      <alignment vertical="center"/>
    </xf>
    <xf numFmtId="0" fontId="10" fillId="4" borderId="0" xfId="0" applyFont="1" applyFill="1" applyAlignment="1">
      <alignment horizontal="center" vertical="center"/>
    </xf>
    <xf numFmtId="0" fontId="11" fillId="4" borderId="0" xfId="0" applyFont="1" applyFill="1"/>
    <xf numFmtId="0" fontId="9" fillId="4" borderId="0" xfId="0" applyFont="1" applyFill="1" applyAlignment="1">
      <alignment horizontal="center" vertical="center"/>
    </xf>
    <xf numFmtId="0" fontId="2" fillId="4" borderId="30" xfId="0" applyFont="1" applyFill="1" applyBorder="1" applyAlignment="1">
      <alignment horizontal="center" vertical="center"/>
    </xf>
    <xf numFmtId="0" fontId="2" fillId="4" borderId="0" xfId="0" applyFont="1" applyFill="1" applyAlignment="1">
      <alignment horizontal="center" vertical="center"/>
    </xf>
    <xf numFmtId="0" fontId="12" fillId="4" borderId="0" xfId="0" applyFont="1" applyFill="1" applyAlignment="1">
      <alignment wrapText="1"/>
    </xf>
    <xf numFmtId="0" fontId="13" fillId="4" borderId="0" xfId="0" applyFont="1" applyFill="1" applyAlignment="1">
      <alignment wrapText="1"/>
    </xf>
    <xf numFmtId="0" fontId="5" fillId="0" borderId="0" xfId="0" applyFont="1" applyAlignment="1">
      <alignment vertical="center"/>
    </xf>
    <xf numFmtId="9" fontId="2" fillId="0" borderId="0" xfId="0" applyNumberFormat="1" applyFont="1" applyAlignment="1">
      <alignment vertical="center"/>
    </xf>
    <xf numFmtId="0" fontId="2" fillId="4" borderId="21" xfId="0" applyFont="1" applyFill="1" applyBorder="1" applyAlignment="1">
      <alignment vertical="center"/>
    </xf>
    <xf numFmtId="0" fontId="2" fillId="4" borderId="0" xfId="0" applyFont="1" applyFill="1" applyAlignment="1">
      <alignment vertical="center"/>
    </xf>
    <xf numFmtId="0" fontId="0" fillId="0" borderId="3" xfId="0" applyBorder="1"/>
    <xf numFmtId="0" fontId="5" fillId="4" borderId="0" xfId="0" applyFont="1" applyFill="1" applyAlignment="1">
      <alignment vertical="center"/>
    </xf>
    <xf numFmtId="0" fontId="2" fillId="4" borderId="0" xfId="0" applyFont="1" applyFill="1" applyAlignment="1">
      <alignment horizontal="left" vertical="center"/>
    </xf>
    <xf numFmtId="0" fontId="15" fillId="4" borderId="0" xfId="0" applyFont="1" applyFill="1" applyAlignment="1">
      <alignment vertical="center"/>
    </xf>
    <xf numFmtId="0" fontId="16" fillId="4" borderId="0" xfId="0" applyFont="1" applyFill="1"/>
    <xf numFmtId="0" fontId="0" fillId="4" borderId="34" xfId="0" applyFill="1" applyBorder="1"/>
    <xf numFmtId="0" fontId="0" fillId="4" borderId="35" xfId="0" applyFill="1" applyBorder="1"/>
    <xf numFmtId="0" fontId="0" fillId="4" borderId="36" xfId="0" applyFill="1" applyBorder="1"/>
    <xf numFmtId="0" fontId="20" fillId="0" borderId="0" xfId="0" applyFont="1" applyAlignment="1">
      <alignment horizontal="center" wrapText="1"/>
    </xf>
    <xf numFmtId="0" fontId="5" fillId="4" borderId="0" xfId="0" applyFont="1" applyFill="1" applyAlignment="1">
      <alignment horizontal="center" vertical="center" wrapText="1"/>
    </xf>
    <xf numFmtId="0" fontId="4" fillId="4" borderId="0" xfId="0" applyFont="1" applyFill="1"/>
    <xf numFmtId="0" fontId="5" fillId="4" borderId="0" xfId="0" applyFont="1" applyFill="1" applyAlignment="1">
      <alignment horizontal="left" vertical="center"/>
    </xf>
    <xf numFmtId="9" fontId="5" fillId="4" borderId="0" xfId="0" applyNumberFormat="1" applyFont="1" applyFill="1" applyAlignment="1">
      <alignment horizontal="center" vertical="center"/>
    </xf>
    <xf numFmtId="0" fontId="4" fillId="4" borderId="0" xfId="0" applyFont="1" applyFill="1" applyAlignment="1">
      <alignment horizontal="left"/>
    </xf>
    <xf numFmtId="0" fontId="22" fillId="0" borderId="0" xfId="2" applyFont="1" applyAlignment="1" applyProtection="1">
      <alignment vertical="center"/>
      <protection locked="0"/>
    </xf>
    <xf numFmtId="49" fontId="24" fillId="4" borderId="0" xfId="2" applyNumberFormat="1" applyFont="1" applyFill="1" applyAlignment="1" applyProtection="1">
      <alignment vertical="center"/>
      <protection locked="0"/>
    </xf>
    <xf numFmtId="0" fontId="24" fillId="4" borderId="0" xfId="2" applyFont="1" applyFill="1" applyAlignment="1" applyProtection="1">
      <alignment vertical="center"/>
      <protection locked="0"/>
    </xf>
    <xf numFmtId="9" fontId="26" fillId="4" borderId="0" xfId="2" applyNumberFormat="1" applyFont="1" applyFill="1" applyAlignment="1" applyProtection="1">
      <alignment vertical="center"/>
      <protection locked="0"/>
    </xf>
    <xf numFmtId="9" fontId="22" fillId="4" borderId="0" xfId="1" applyFont="1" applyFill="1" applyAlignment="1" applyProtection="1">
      <alignment vertical="center"/>
      <protection locked="0"/>
    </xf>
    <xf numFmtId="9" fontId="22" fillId="4" borderId="0" xfId="2" applyNumberFormat="1" applyFont="1" applyFill="1" applyAlignment="1" applyProtection="1">
      <alignment vertical="center"/>
      <protection locked="0"/>
    </xf>
    <xf numFmtId="0" fontId="26" fillId="4" borderId="0" xfId="2" applyFont="1" applyFill="1" applyAlignment="1" applyProtection="1">
      <alignment vertical="center"/>
      <protection locked="0"/>
    </xf>
    <xf numFmtId="0" fontId="26" fillId="0" borderId="0" xfId="3" applyFont="1"/>
    <xf numFmtId="0" fontId="7" fillId="4" borderId="0" xfId="0" applyFont="1" applyFill="1"/>
    <xf numFmtId="0" fontId="7" fillId="0" borderId="0" xfId="0" applyFont="1"/>
    <xf numFmtId="0" fontId="36" fillId="0" borderId="0" xfId="0" applyFont="1" applyAlignment="1">
      <alignment vertical="top"/>
    </xf>
    <xf numFmtId="49" fontId="36" fillId="0" borderId="0" xfId="0" applyNumberFormat="1" applyFont="1" applyAlignment="1">
      <alignment horizontal="center" vertical="top"/>
    </xf>
    <xf numFmtId="0" fontId="22" fillId="4" borderId="0" xfId="2" applyFont="1" applyFill="1" applyAlignment="1" applyProtection="1">
      <alignment vertical="center"/>
      <protection locked="0"/>
    </xf>
    <xf numFmtId="0" fontId="26" fillId="4" borderId="0" xfId="3" applyFont="1" applyFill="1"/>
    <xf numFmtId="0" fontId="26" fillId="4" borderId="59" xfId="3" applyFont="1" applyFill="1" applyBorder="1" applyAlignment="1">
      <alignment vertical="top" wrapText="1"/>
    </xf>
    <xf numFmtId="0" fontId="26" fillId="4" borderId="0" xfId="3" applyFont="1" applyFill="1" applyAlignment="1">
      <alignment vertical="top" wrapText="1"/>
    </xf>
    <xf numFmtId="0" fontId="26" fillId="4" borderId="60" xfId="3" applyFont="1" applyFill="1" applyBorder="1" applyAlignment="1">
      <alignment vertical="top" wrapText="1"/>
    </xf>
    <xf numFmtId="0" fontId="26" fillId="4" borderId="59" xfId="3" applyFont="1" applyFill="1" applyBorder="1" applyAlignment="1">
      <alignment horizontal="left" vertical="top"/>
    </xf>
    <xf numFmtId="0" fontId="26" fillId="4" borderId="60" xfId="3" applyFont="1" applyFill="1" applyBorder="1" applyAlignment="1">
      <alignment horizontal="left" vertical="top"/>
    </xf>
    <xf numFmtId="0" fontId="26" fillId="4" borderId="59" xfId="3" applyFont="1" applyFill="1" applyBorder="1"/>
    <xf numFmtId="0" fontId="34" fillId="4" borderId="0" xfId="4" applyFont="1" applyFill="1" applyAlignment="1">
      <alignment horizontal="left" vertical="top" wrapText="1" readingOrder="1"/>
    </xf>
    <xf numFmtId="0" fontId="26" fillId="4" borderId="60" xfId="3" applyFont="1" applyFill="1" applyBorder="1"/>
    <xf numFmtId="0" fontId="26" fillId="4" borderId="72" xfId="3" applyFont="1" applyFill="1" applyBorder="1"/>
    <xf numFmtId="0" fontId="26" fillId="4" borderId="73" xfId="3" applyFont="1" applyFill="1" applyBorder="1"/>
    <xf numFmtId="0" fontId="26" fillId="4" borderId="74" xfId="3" applyFont="1" applyFill="1" applyBorder="1"/>
    <xf numFmtId="0" fontId="34" fillId="4" borderId="0" xfId="0" applyFont="1" applyFill="1" applyAlignment="1">
      <alignment horizontal="left" vertical="center" wrapText="1"/>
    </xf>
    <xf numFmtId="0" fontId="35" fillId="4" borderId="0" xfId="0" applyFont="1" applyFill="1" applyAlignment="1">
      <alignment horizontal="left" vertical="top" wrapText="1"/>
    </xf>
    <xf numFmtId="0" fontId="26" fillId="4" borderId="0" xfId="3" quotePrefix="1" applyFont="1" applyFill="1" applyAlignment="1">
      <alignment horizontal="left" vertical="center" wrapText="1"/>
    </xf>
    <xf numFmtId="0" fontId="32" fillId="4" borderId="0" xfId="3" applyFont="1" applyFill="1" applyAlignment="1">
      <alignment horizontal="left" vertical="center" wrapText="1"/>
    </xf>
    <xf numFmtId="0" fontId="26" fillId="4" borderId="0" xfId="3" applyFont="1" applyFill="1" applyAlignment="1">
      <alignment horizontal="left" vertical="center" wrapText="1"/>
    </xf>
    <xf numFmtId="0" fontId="7" fillId="4" borderId="0" xfId="0" applyFont="1" applyFill="1" applyAlignment="1">
      <alignment vertical="center"/>
    </xf>
    <xf numFmtId="0" fontId="7" fillId="0" borderId="0" xfId="0" applyFont="1" applyAlignment="1">
      <alignment vertical="center"/>
    </xf>
    <xf numFmtId="0" fontId="8" fillId="4" borderId="0" xfId="0" applyFont="1" applyFill="1"/>
    <xf numFmtId="0" fontId="8" fillId="0" borderId="0" xfId="0" applyFont="1" applyAlignment="1">
      <alignment vertical="top"/>
    </xf>
    <xf numFmtId="0" fontId="8" fillId="0" borderId="0" xfId="0" applyFont="1"/>
    <xf numFmtId="0" fontId="44" fillId="9" borderId="11" xfId="0" applyFont="1" applyFill="1" applyBorder="1" applyAlignment="1">
      <alignment horizontal="center" vertical="top" wrapText="1"/>
    </xf>
    <xf numFmtId="49" fontId="45" fillId="5" borderId="7" xfId="0" applyNumberFormat="1" applyFont="1" applyFill="1" applyBorder="1" applyAlignment="1">
      <alignment horizontal="center" vertical="center" wrapText="1"/>
    </xf>
    <xf numFmtId="0" fontId="45" fillId="5" borderId="7" xfId="0" applyFont="1" applyFill="1" applyBorder="1" applyAlignment="1">
      <alignment horizontal="center" vertical="center" wrapText="1"/>
    </xf>
    <xf numFmtId="0" fontId="45" fillId="5" borderId="10" xfId="0" applyFont="1" applyFill="1" applyBorder="1" applyAlignment="1">
      <alignment horizontal="center" vertical="center" wrapText="1"/>
    </xf>
    <xf numFmtId="0" fontId="45" fillId="5" borderId="5" xfId="0" applyFont="1" applyFill="1" applyBorder="1" applyAlignment="1">
      <alignment horizontal="center" vertical="center" wrapText="1"/>
    </xf>
    <xf numFmtId="0" fontId="46" fillId="0" borderId="2" xfId="0" applyFont="1" applyBorder="1" applyAlignment="1">
      <alignment horizontal="center" vertical="center" wrapText="1"/>
    </xf>
    <xf numFmtId="0" fontId="46" fillId="0" borderId="2" xfId="0" applyFont="1" applyBorder="1" applyAlignment="1">
      <alignment horizontal="left" vertical="center" wrapText="1"/>
    </xf>
    <xf numFmtId="0" fontId="46" fillId="0" borderId="3" xfId="0" applyFont="1" applyBorder="1" applyAlignment="1">
      <alignment horizontal="center" vertical="center" wrapText="1"/>
    </xf>
    <xf numFmtId="0" fontId="47" fillId="0" borderId="3" xfId="0" applyFont="1" applyBorder="1" applyAlignment="1">
      <alignment horizontal="left" vertical="center" wrapText="1"/>
    </xf>
    <xf numFmtId="0" fontId="46" fillId="0" borderId="3" xfId="0" applyFont="1" applyBorder="1" applyAlignment="1">
      <alignment horizontal="left" vertical="center" wrapText="1"/>
    </xf>
    <xf numFmtId="0" fontId="46" fillId="0" borderId="4" xfId="0" applyFont="1" applyBorder="1" applyAlignment="1">
      <alignment horizontal="center" vertical="center" wrapText="1"/>
    </xf>
    <xf numFmtId="0" fontId="46" fillId="0" borderId="4" xfId="0" applyFont="1" applyBorder="1" applyAlignment="1">
      <alignment horizontal="left" vertical="center" wrapText="1"/>
    </xf>
    <xf numFmtId="0" fontId="9" fillId="13" borderId="3" xfId="0" applyFont="1" applyFill="1" applyBorder="1" applyAlignment="1">
      <alignment horizontal="center" vertical="center" wrapText="1"/>
    </xf>
    <xf numFmtId="0" fontId="50" fillId="0" borderId="0" xfId="0" applyFont="1" applyAlignment="1">
      <alignment horizontal="center" wrapText="1"/>
    </xf>
    <xf numFmtId="0" fontId="9" fillId="15" borderId="3"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9" fillId="11" borderId="3" xfId="0" applyFont="1" applyFill="1" applyBorder="1" applyAlignment="1">
      <alignment horizontal="center" vertical="center" wrapText="1"/>
    </xf>
    <xf numFmtId="0" fontId="9" fillId="9" borderId="3" xfId="0" applyFont="1" applyFill="1" applyBorder="1" applyAlignment="1">
      <alignment horizontal="center" vertical="center" wrapText="1"/>
    </xf>
    <xf numFmtId="0" fontId="51" fillId="2" borderId="3" xfId="0" applyFont="1" applyFill="1" applyBorder="1" applyAlignment="1">
      <alignment horizontal="center" vertical="center"/>
    </xf>
    <xf numFmtId="0" fontId="42" fillId="0" borderId="3" xfId="0" applyFont="1" applyBorder="1" applyAlignment="1">
      <alignment horizontal="center" vertical="center"/>
    </xf>
    <xf numFmtId="0" fontId="53" fillId="0" borderId="0" xfId="0" applyFont="1" applyAlignment="1">
      <alignment horizontal="center"/>
    </xf>
    <xf numFmtId="0" fontId="52" fillId="12" borderId="31" xfId="0" applyFont="1" applyFill="1" applyBorder="1" applyAlignment="1">
      <alignment horizontal="center" vertical="center" wrapText="1"/>
    </xf>
    <xf numFmtId="0" fontId="42" fillId="0" borderId="0" xfId="0" applyFont="1" applyAlignment="1">
      <alignment horizontal="center" vertical="center" wrapText="1"/>
    </xf>
    <xf numFmtId="0" fontId="25" fillId="4" borderId="0" xfId="2" applyFont="1" applyFill="1" applyAlignment="1">
      <alignment vertical="center" wrapText="1"/>
    </xf>
    <xf numFmtId="0" fontId="35" fillId="4" borderId="0" xfId="2" applyFont="1" applyFill="1" applyAlignment="1">
      <alignment vertical="center" wrapText="1"/>
    </xf>
    <xf numFmtId="0" fontId="36" fillId="0" borderId="0" xfId="0" applyFont="1" applyAlignment="1" applyProtection="1">
      <alignment horizontal="center" vertical="top"/>
      <protection hidden="1"/>
    </xf>
    <xf numFmtId="0" fontId="38" fillId="0" borderId="79" xfId="0" applyFont="1" applyBorder="1" applyAlignment="1" applyProtection="1">
      <alignment horizontal="center" vertical="center" wrapText="1"/>
      <protection hidden="1"/>
    </xf>
    <xf numFmtId="0" fontId="8" fillId="0" borderId="0" xfId="0" applyFont="1" applyAlignment="1" applyProtection="1">
      <alignment horizontal="center" vertical="top"/>
      <protection hidden="1"/>
    </xf>
    <xf numFmtId="0" fontId="39" fillId="0" borderId="9" xfId="0" applyFont="1" applyBorder="1" applyAlignment="1" applyProtection="1">
      <alignment horizontal="center" vertical="center" wrapText="1"/>
      <protection hidden="1"/>
    </xf>
    <xf numFmtId="49" fontId="8" fillId="0" borderId="0" xfId="0" applyNumberFormat="1" applyFont="1" applyAlignment="1" applyProtection="1">
      <alignment horizontal="center" vertical="top"/>
      <protection hidden="1"/>
    </xf>
    <xf numFmtId="0" fontId="38" fillId="0" borderId="9" xfId="0" applyFont="1" applyBorder="1" applyAlignment="1" applyProtection="1">
      <alignment horizontal="center" vertical="center" wrapText="1"/>
      <protection hidden="1"/>
    </xf>
    <xf numFmtId="0" fontId="38" fillId="0" borderId="80" xfId="0" applyFont="1" applyBorder="1" applyAlignment="1" applyProtection="1">
      <alignment horizontal="center" vertical="center" wrapText="1"/>
      <protection hidden="1"/>
    </xf>
    <xf numFmtId="0" fontId="8" fillId="0" borderId="0" xfId="0" applyFont="1" applyAlignment="1" applyProtection="1">
      <alignment vertical="top"/>
      <protection hidden="1"/>
    </xf>
    <xf numFmtId="0" fontId="43" fillId="0" borderId="2" xfId="0" applyFont="1" applyBorder="1" applyAlignment="1" applyProtection="1">
      <alignment horizontal="center" vertical="center" wrapText="1"/>
      <protection locked="0"/>
    </xf>
    <xf numFmtId="0" fontId="36" fillId="0" borderId="79" xfId="0" applyFont="1" applyBorder="1" applyAlignment="1" applyProtection="1">
      <alignment horizontal="left" vertical="center" wrapText="1"/>
      <protection locked="0"/>
    </xf>
    <xf numFmtId="0" fontId="43" fillId="0" borderId="3" xfId="0" applyFont="1" applyBorder="1" applyAlignment="1" applyProtection="1">
      <alignment horizontal="center" vertical="center" wrapText="1"/>
      <protection locked="0"/>
    </xf>
    <xf numFmtId="0" fontId="7" fillId="0" borderId="9" xfId="0" applyFont="1" applyBorder="1" applyAlignment="1" applyProtection="1">
      <alignment horizontal="left" vertical="center" wrapText="1"/>
      <protection locked="0"/>
    </xf>
    <xf numFmtId="0" fontId="36" fillId="0" borderId="9" xfId="0" applyFont="1" applyBorder="1" applyAlignment="1" applyProtection="1">
      <alignment horizontal="left" vertical="center" wrapText="1"/>
      <protection locked="0"/>
    </xf>
    <xf numFmtId="0" fontId="43" fillId="0" borderId="4" xfId="0" applyFont="1" applyBorder="1" applyAlignment="1" applyProtection="1">
      <alignment horizontal="center" vertical="center" wrapText="1"/>
      <protection locked="0"/>
    </xf>
    <xf numFmtId="0" fontId="36" fillId="0" borderId="80" xfId="0" applyFont="1" applyBorder="1" applyAlignment="1" applyProtection="1">
      <alignment horizontal="left" vertical="center" wrapText="1"/>
      <protection locked="0"/>
    </xf>
    <xf numFmtId="0" fontId="19" fillId="2" borderId="82" xfId="2" applyFont="1" applyFill="1" applyBorder="1" applyAlignment="1">
      <alignment horizontal="center" vertical="center"/>
    </xf>
    <xf numFmtId="0" fontId="19" fillId="2" borderId="82" xfId="2" applyFont="1" applyFill="1" applyBorder="1" applyAlignment="1">
      <alignment horizontal="center" vertical="center" wrapText="1"/>
    </xf>
    <xf numFmtId="0" fontId="1" fillId="0" borderId="2" xfId="0" applyFont="1" applyBorder="1" applyAlignment="1" applyProtection="1">
      <alignment horizontal="left" vertical="center" wrapText="1"/>
      <protection hidden="1"/>
    </xf>
    <xf numFmtId="0" fontId="0" fillId="0" borderId="2" xfId="0" applyBorder="1" applyAlignment="1" applyProtection="1">
      <alignment horizontal="center" vertical="center"/>
      <protection hidden="1"/>
    </xf>
    <xf numFmtId="0" fontId="40" fillId="0" borderId="84" xfId="0" applyFont="1" applyBorder="1" applyAlignment="1" applyProtection="1">
      <alignment vertical="center" wrapText="1"/>
      <protection hidden="1"/>
    </xf>
    <xf numFmtId="0" fontId="1" fillId="0" borderId="3" xfId="0" applyFont="1" applyBorder="1" applyAlignment="1" applyProtection="1">
      <alignment horizontal="left" vertical="center" wrapText="1"/>
      <protection hidden="1"/>
    </xf>
    <xf numFmtId="0" fontId="0" fillId="0" borderId="3" xfId="0" applyBorder="1" applyAlignment="1" applyProtection="1">
      <alignment horizontal="center" vertical="center"/>
      <protection hidden="1"/>
    </xf>
    <xf numFmtId="0" fontId="40" fillId="0" borderId="85" xfId="0" applyFont="1" applyBorder="1" applyAlignment="1" applyProtection="1">
      <alignment vertical="center" wrapText="1"/>
      <protection hidden="1"/>
    </xf>
    <xf numFmtId="0" fontId="1" fillId="0" borderId="4" xfId="0" applyFont="1" applyBorder="1" applyAlignment="1" applyProtection="1">
      <alignment horizontal="left" vertical="center" wrapText="1"/>
      <protection hidden="1"/>
    </xf>
    <xf numFmtId="0" fontId="0" fillId="0" borderId="4" xfId="0" applyBorder="1" applyAlignment="1" applyProtection="1">
      <alignment horizontal="center" vertical="center"/>
      <protection hidden="1"/>
    </xf>
    <xf numFmtId="0" fontId="40" fillId="0" borderId="86" xfId="0" applyFont="1" applyBorder="1" applyAlignment="1" applyProtection="1">
      <alignment vertical="center" wrapText="1"/>
      <protection hidden="1"/>
    </xf>
    <xf numFmtId="0" fontId="1" fillId="0" borderId="7" xfId="0" applyFont="1" applyBorder="1" applyAlignment="1" applyProtection="1">
      <alignment horizontal="left" vertical="center" wrapText="1"/>
      <protection hidden="1"/>
    </xf>
    <xf numFmtId="0" fontId="0" fillId="0" borderId="7" xfId="0" applyBorder="1" applyAlignment="1" applyProtection="1">
      <alignment horizontal="center" vertical="center"/>
      <protection hidden="1"/>
    </xf>
    <xf numFmtId="0" fontId="40" fillId="0" borderId="5" xfId="0" applyFont="1" applyBorder="1" applyAlignment="1" applyProtection="1">
      <alignment vertical="center" wrapText="1"/>
      <protection hidden="1"/>
    </xf>
    <xf numFmtId="0" fontId="1" fillId="0" borderId="6" xfId="0" applyFont="1" applyBorder="1" applyAlignment="1" applyProtection="1">
      <alignment horizontal="left" vertical="center" wrapText="1"/>
      <protection hidden="1"/>
    </xf>
    <xf numFmtId="0" fontId="0" fillId="0" borderId="6" xfId="0" applyBorder="1" applyAlignment="1" applyProtection="1">
      <alignment horizontal="center" vertical="center"/>
      <protection hidden="1"/>
    </xf>
    <xf numFmtId="0" fontId="40" fillId="0" borderId="6" xfId="0" applyFont="1" applyBorder="1" applyAlignment="1" applyProtection="1">
      <alignment vertical="center" wrapText="1"/>
      <protection hidden="1"/>
    </xf>
    <xf numFmtId="0" fontId="40" fillId="0" borderId="3" xfId="0" applyFont="1" applyBorder="1" applyAlignment="1" applyProtection="1">
      <alignment vertical="center" wrapText="1"/>
      <protection hidden="1"/>
    </xf>
    <xf numFmtId="0" fontId="40" fillId="0" borderId="7" xfId="0" applyFont="1" applyBorder="1" applyAlignment="1" applyProtection="1">
      <alignment vertical="center" wrapText="1"/>
      <protection hidden="1"/>
    </xf>
    <xf numFmtId="0" fontId="48" fillId="0" borderId="22" xfId="0" applyFont="1" applyBorder="1" applyAlignment="1" applyProtection="1">
      <alignment horizontal="center" vertical="center"/>
      <protection hidden="1"/>
    </xf>
    <xf numFmtId="9" fontId="0" fillId="0" borderId="90" xfId="0" applyNumberFormat="1" applyBorder="1" applyAlignment="1" applyProtection="1">
      <alignment horizontal="center" vertical="center"/>
      <protection hidden="1"/>
    </xf>
    <xf numFmtId="9" fontId="0" fillId="0" borderId="91" xfId="0" applyNumberFormat="1" applyBorder="1" applyAlignment="1" applyProtection="1">
      <alignment horizontal="center" vertical="center"/>
      <protection hidden="1"/>
    </xf>
    <xf numFmtId="9" fontId="0" fillId="0" borderId="92" xfId="0" applyNumberFormat="1" applyBorder="1" applyAlignment="1" applyProtection="1">
      <alignment horizontal="center" vertical="center"/>
      <protection hidden="1"/>
    </xf>
    <xf numFmtId="9" fontId="0" fillId="0" borderId="93" xfId="0" applyNumberFormat="1" applyBorder="1" applyAlignment="1" applyProtection="1">
      <alignment horizontal="center" vertical="center"/>
      <protection hidden="1"/>
    </xf>
    <xf numFmtId="9" fontId="0" fillId="0" borderId="6" xfId="0" applyNumberFormat="1" applyBorder="1" applyAlignment="1" applyProtection="1">
      <alignment horizontal="center" vertical="center"/>
      <protection hidden="1"/>
    </xf>
    <xf numFmtId="9" fontId="0" fillId="0" borderId="3" xfId="0" applyNumberFormat="1" applyBorder="1" applyAlignment="1" applyProtection="1">
      <alignment horizontal="center" vertical="center"/>
      <protection hidden="1"/>
    </xf>
    <xf numFmtId="9" fontId="0" fillId="0" borderId="7" xfId="0" applyNumberFormat="1" applyBorder="1" applyAlignment="1" applyProtection="1">
      <alignment horizontal="center" vertical="center"/>
      <protection hidden="1"/>
    </xf>
    <xf numFmtId="9" fontId="42" fillId="2" borderId="26" xfId="0" applyNumberFormat="1" applyFont="1" applyFill="1" applyBorder="1" applyAlignment="1" applyProtection="1">
      <alignment horizontal="center" vertical="center"/>
      <protection hidden="1"/>
    </xf>
    <xf numFmtId="0" fontId="42" fillId="0" borderId="3" xfId="0" applyFont="1" applyBorder="1" applyAlignment="1" applyProtection="1">
      <alignment horizontal="center" vertical="center"/>
      <protection hidden="1"/>
    </xf>
    <xf numFmtId="9" fontId="14" fillId="14" borderId="3" xfId="0" applyNumberFormat="1" applyFont="1" applyFill="1" applyBorder="1" applyAlignment="1" applyProtection="1">
      <alignment horizontal="center" vertical="center"/>
      <protection hidden="1"/>
    </xf>
    <xf numFmtId="49" fontId="55" fillId="4" borderId="2" xfId="0" applyNumberFormat="1" applyFont="1" applyFill="1" applyBorder="1" applyAlignment="1" applyProtection="1">
      <alignment horizontal="center" vertical="center" wrapText="1"/>
      <protection locked="0"/>
    </xf>
    <xf numFmtId="49" fontId="55" fillId="4" borderId="3" xfId="0" applyNumberFormat="1" applyFont="1" applyFill="1" applyBorder="1" applyAlignment="1" applyProtection="1">
      <alignment horizontal="center" vertical="center" wrapText="1"/>
      <protection locked="0"/>
    </xf>
    <xf numFmtId="49" fontId="55" fillId="4" borderId="4" xfId="0" applyNumberFormat="1" applyFont="1" applyFill="1" applyBorder="1" applyAlignment="1" applyProtection="1">
      <alignment horizontal="center" vertical="center" wrapText="1"/>
      <protection locked="0"/>
    </xf>
    <xf numFmtId="49" fontId="18" fillId="5" borderId="7" xfId="0" applyNumberFormat="1" applyFont="1" applyFill="1" applyBorder="1" applyAlignment="1" applyProtection="1">
      <alignment horizontal="center" vertical="center" wrapText="1"/>
      <protection hidden="1"/>
    </xf>
    <xf numFmtId="0" fontId="18" fillId="5" borderId="7" xfId="0" applyFont="1" applyFill="1" applyBorder="1" applyAlignment="1" applyProtection="1">
      <alignment horizontal="center" vertical="center" wrapText="1"/>
      <protection hidden="1"/>
    </xf>
    <xf numFmtId="0" fontId="18" fillId="5" borderId="10" xfId="0" applyFont="1" applyFill="1" applyBorder="1" applyAlignment="1" applyProtection="1">
      <alignment horizontal="center" vertical="center" wrapText="1"/>
      <protection hidden="1"/>
    </xf>
    <xf numFmtId="0" fontId="18" fillId="5" borderId="81" xfId="0" applyFont="1" applyFill="1" applyBorder="1" applyAlignment="1" applyProtection="1">
      <alignment horizontal="center" vertical="center" wrapText="1"/>
      <protection hidden="1"/>
    </xf>
    <xf numFmtId="0" fontId="0" fillId="0" borderId="0" xfId="0" applyProtection="1">
      <protection hidden="1"/>
    </xf>
    <xf numFmtId="9" fontId="0" fillId="0" borderId="0" xfId="1" applyFont="1" applyProtection="1">
      <protection hidden="1"/>
    </xf>
    <xf numFmtId="10" fontId="0" fillId="0" borderId="0" xfId="1" applyNumberFormat="1" applyFont="1" applyProtection="1">
      <protection hidden="1"/>
    </xf>
    <xf numFmtId="49" fontId="44" fillId="9" borderId="14" xfId="0" applyNumberFormat="1" applyFont="1" applyFill="1" applyBorder="1" applyAlignment="1">
      <alignment horizontal="center" vertical="center" wrapText="1"/>
    </xf>
    <xf numFmtId="49" fontId="44" fillId="9" borderId="11" xfId="0" applyNumberFormat="1" applyFont="1" applyFill="1" applyBorder="1" applyAlignment="1">
      <alignment horizontal="center" vertical="center" wrapText="1"/>
    </xf>
    <xf numFmtId="0" fontId="30" fillId="0" borderId="58" xfId="3" applyFont="1" applyBorder="1" applyAlignment="1">
      <alignment horizontal="center" vertical="center" wrapText="1"/>
    </xf>
    <xf numFmtId="0" fontId="30" fillId="0" borderId="55" xfId="3" applyFont="1" applyBorder="1" applyAlignment="1">
      <alignment horizontal="center" vertical="center" wrapText="1"/>
    </xf>
    <xf numFmtId="0" fontId="30" fillId="0" borderId="8" xfId="3" applyFont="1" applyBorder="1" applyAlignment="1">
      <alignment horizontal="center" vertical="center" wrapText="1"/>
    </xf>
    <xf numFmtId="0" fontId="26" fillId="0" borderId="59" xfId="3" quotePrefix="1" applyFont="1" applyBorder="1" applyAlignment="1">
      <alignment horizontal="left" vertical="center" wrapText="1"/>
    </xf>
    <xf numFmtId="0" fontId="26" fillId="0" borderId="0" xfId="3" quotePrefix="1" applyFont="1" applyAlignment="1">
      <alignment horizontal="left" vertical="center" wrapText="1"/>
    </xf>
    <xf numFmtId="0" fontId="26" fillId="0" borderId="60" xfId="3" quotePrefix="1" applyFont="1" applyBorder="1" applyAlignment="1">
      <alignment horizontal="left" vertical="center" wrapText="1"/>
    </xf>
    <xf numFmtId="0" fontId="31" fillId="4" borderId="59" xfId="3" quotePrefix="1" applyFont="1" applyFill="1" applyBorder="1" applyAlignment="1">
      <alignment horizontal="left" vertical="top" wrapText="1"/>
    </xf>
    <xf numFmtId="0" fontId="25" fillId="4" borderId="0" xfId="3" quotePrefix="1" applyFont="1" applyFill="1" applyAlignment="1">
      <alignment horizontal="left" vertical="top" wrapText="1"/>
    </xf>
    <xf numFmtId="0" fontId="25" fillId="4" borderId="60" xfId="3" quotePrefix="1" applyFont="1" applyFill="1" applyBorder="1" applyAlignment="1">
      <alignment horizontal="left" vertical="top" wrapText="1"/>
    </xf>
    <xf numFmtId="0" fontId="26" fillId="4" borderId="59" xfId="3" quotePrefix="1" applyFont="1" applyFill="1" applyBorder="1" applyAlignment="1">
      <alignment horizontal="left" vertical="top" wrapText="1"/>
    </xf>
    <xf numFmtId="0" fontId="26" fillId="4" borderId="0" xfId="3" quotePrefix="1" applyFont="1" applyFill="1" applyAlignment="1">
      <alignment horizontal="left" vertical="top" wrapText="1"/>
    </xf>
    <xf numFmtId="0" fontId="26" fillId="4" borderId="60" xfId="3" quotePrefix="1" applyFont="1" applyFill="1" applyBorder="1" applyAlignment="1">
      <alignment horizontal="left" vertical="top" wrapText="1"/>
    </xf>
    <xf numFmtId="0" fontId="34" fillId="16" borderId="61" xfId="4" applyFont="1" applyFill="1" applyBorder="1" applyAlignment="1">
      <alignment horizontal="center" vertical="center" wrapText="1"/>
    </xf>
    <xf numFmtId="0" fontId="34" fillId="16" borderId="62" xfId="4" applyFont="1" applyFill="1" applyBorder="1" applyAlignment="1">
      <alignment horizontal="center" vertical="center" wrapText="1"/>
    </xf>
    <xf numFmtId="0" fontId="34" fillId="16" borderId="63" xfId="3" applyFont="1" applyFill="1" applyBorder="1" applyAlignment="1">
      <alignment horizontal="center" vertical="center"/>
    </xf>
    <xf numFmtId="0" fontId="34" fillId="16" borderId="64" xfId="3" applyFont="1" applyFill="1" applyBorder="1" applyAlignment="1">
      <alignment horizontal="center" vertical="center"/>
    </xf>
    <xf numFmtId="0" fontId="34" fillId="4" borderId="75" xfId="4" applyFont="1" applyFill="1" applyBorder="1" applyAlignment="1">
      <alignment horizontal="left" vertical="center" wrapText="1" readingOrder="1"/>
    </xf>
    <xf numFmtId="0" fontId="34" fillId="4" borderId="76" xfId="4" applyFont="1" applyFill="1" applyBorder="1" applyAlignment="1">
      <alignment horizontal="left" vertical="center" wrapText="1" readingOrder="1"/>
    </xf>
    <xf numFmtId="0" fontId="35" fillId="0" borderId="65" xfId="3" applyFont="1" applyBorder="1" applyAlignment="1">
      <alignment horizontal="left" vertical="center" wrapText="1"/>
    </xf>
    <xf numFmtId="0" fontId="35" fillId="0" borderId="66" xfId="3" applyFont="1" applyBorder="1" applyAlignment="1">
      <alignment horizontal="left" vertical="center" wrapText="1"/>
    </xf>
    <xf numFmtId="0" fontId="34" fillId="4" borderId="67" xfId="0" applyFont="1" applyFill="1" applyBorder="1" applyAlignment="1">
      <alignment horizontal="left" vertical="center" wrapText="1"/>
    </xf>
    <xf numFmtId="0" fontId="34" fillId="4" borderId="68" xfId="0" applyFont="1" applyFill="1" applyBorder="1" applyAlignment="1">
      <alignment horizontal="left" vertical="center" wrapText="1"/>
    </xf>
    <xf numFmtId="0" fontId="35" fillId="0" borderId="69" xfId="3" applyFont="1" applyBorder="1" applyAlignment="1">
      <alignment horizontal="left" vertical="center" wrapText="1"/>
    </xf>
    <xf numFmtId="0" fontId="35" fillId="0" borderId="70" xfId="3" applyFont="1" applyBorder="1" applyAlignment="1">
      <alignment horizontal="left" vertical="center" wrapText="1"/>
    </xf>
    <xf numFmtId="0" fontId="35" fillId="0" borderId="69" xfId="3" applyFont="1" applyBorder="1" applyAlignment="1">
      <alignment horizontal="left" vertical="top" wrapText="1"/>
    </xf>
    <xf numFmtId="0" fontId="35" fillId="0" borderId="70" xfId="3" applyFont="1" applyBorder="1" applyAlignment="1">
      <alignment horizontal="left" vertical="top" wrapText="1"/>
    </xf>
    <xf numFmtId="0" fontId="26" fillId="4" borderId="59" xfId="3" applyFont="1" applyFill="1" applyBorder="1" applyAlignment="1">
      <alignment horizontal="left" vertical="top" wrapText="1"/>
    </xf>
    <xf numFmtId="0" fontId="26" fillId="4" borderId="0" xfId="3" applyFont="1" applyFill="1" applyAlignment="1">
      <alignment horizontal="left" vertical="top" wrapText="1"/>
    </xf>
    <xf numFmtId="0" fontId="26" fillId="4" borderId="60" xfId="3" applyFont="1" applyFill="1" applyBorder="1" applyAlignment="1">
      <alignment horizontal="left" vertical="top" wrapText="1"/>
    </xf>
    <xf numFmtId="0" fontId="26" fillId="4" borderId="0" xfId="3" applyFont="1" applyFill="1"/>
    <xf numFmtId="0" fontId="34" fillId="4" borderId="77" xfId="0" applyFont="1" applyFill="1" applyBorder="1" applyAlignment="1">
      <alignment horizontal="left" vertical="center" wrapText="1"/>
    </xf>
    <xf numFmtId="0" fontId="34" fillId="4" borderId="78" xfId="0" applyFont="1" applyFill="1" applyBorder="1" applyAlignment="1">
      <alignment horizontal="left" vertical="center" wrapText="1"/>
    </xf>
    <xf numFmtId="0" fontId="17" fillId="2" borderId="44" xfId="2" applyFont="1" applyFill="1" applyBorder="1" applyAlignment="1">
      <alignment horizontal="center" vertical="center" wrapText="1"/>
    </xf>
    <xf numFmtId="0" fontId="17" fillId="2" borderId="45" xfId="2" applyFont="1" applyFill="1" applyBorder="1" applyAlignment="1">
      <alignment horizontal="center" vertical="center" wrapText="1"/>
    </xf>
    <xf numFmtId="0" fontId="25" fillId="7" borderId="50" xfId="2" applyFont="1" applyFill="1" applyBorder="1" applyAlignment="1">
      <alignment horizontal="center" vertical="center"/>
    </xf>
    <xf numFmtId="0" fontId="25" fillId="7" borderId="51" xfId="2" applyFont="1" applyFill="1" applyBorder="1" applyAlignment="1">
      <alignment horizontal="center" vertical="center"/>
    </xf>
    <xf numFmtId="0" fontId="26" fillId="0" borderId="56" xfId="2" applyFont="1" applyBorder="1" applyAlignment="1">
      <alignment horizontal="justify" vertical="center" wrapText="1"/>
    </xf>
    <xf numFmtId="0" fontId="26" fillId="0" borderId="57" xfId="2" applyFont="1" applyBorder="1" applyAlignment="1">
      <alignment horizontal="justify" vertical="center" wrapText="1"/>
    </xf>
    <xf numFmtId="0" fontId="25" fillId="8" borderId="52" xfId="2" applyFont="1" applyFill="1" applyBorder="1" applyAlignment="1">
      <alignment horizontal="center" vertical="center" wrapText="1"/>
    </xf>
    <xf numFmtId="0" fontId="25" fillId="8" borderId="53" xfId="2" applyFont="1" applyFill="1" applyBorder="1" applyAlignment="1">
      <alignment horizontal="center" vertical="center"/>
    </xf>
    <xf numFmtId="0" fontId="26" fillId="0" borderId="53" xfId="2" applyFont="1" applyBorder="1" applyAlignment="1">
      <alignment horizontal="justify" vertical="center" wrapText="1"/>
    </xf>
    <xf numFmtId="0" fontId="26" fillId="0" borderId="54" xfId="2" applyFont="1" applyBorder="1" applyAlignment="1">
      <alignment horizontal="justify" vertical="center" wrapText="1"/>
    </xf>
    <xf numFmtId="0" fontId="37" fillId="4" borderId="71" xfId="2" applyFont="1" applyFill="1" applyBorder="1" applyAlignment="1">
      <alignment horizontal="center" vertical="center" wrapText="1"/>
    </xf>
    <xf numFmtId="0" fontId="24" fillId="4" borderId="71" xfId="2" applyFont="1" applyFill="1" applyBorder="1" applyAlignment="1">
      <alignment horizontal="center" vertical="center" wrapText="1"/>
    </xf>
    <xf numFmtId="0" fontId="17" fillId="2" borderId="46" xfId="2" applyFont="1" applyFill="1" applyBorder="1" applyAlignment="1">
      <alignment horizontal="center" vertical="center" wrapText="1"/>
    </xf>
    <xf numFmtId="0" fontId="25" fillId="14" borderId="47" xfId="2" applyFont="1" applyFill="1" applyBorder="1" applyAlignment="1">
      <alignment horizontal="center" vertical="center"/>
    </xf>
    <xf numFmtId="0" fontId="25" fillId="14" borderId="48" xfId="2" applyFont="1" applyFill="1" applyBorder="1" applyAlignment="1">
      <alignment horizontal="center" vertical="center"/>
    </xf>
    <xf numFmtId="0" fontId="26" fillId="0" borderId="48" xfId="2" applyFont="1" applyBorder="1" applyAlignment="1">
      <alignment horizontal="justify" vertical="center" wrapText="1"/>
    </xf>
    <xf numFmtId="0" fontId="26" fillId="0" borderId="49" xfId="2" applyFont="1" applyBorder="1" applyAlignment="1">
      <alignment horizontal="justify" vertical="center" wrapText="1"/>
    </xf>
    <xf numFmtId="0" fontId="44" fillId="9" borderId="11" xfId="0" applyFont="1" applyFill="1" applyBorder="1" applyAlignment="1">
      <alignment horizontal="center" vertical="center" wrapText="1"/>
    </xf>
    <xf numFmtId="0" fontId="44" fillId="9" borderId="12" xfId="0" applyFont="1" applyFill="1" applyBorder="1" applyAlignment="1">
      <alignment horizontal="center" vertical="center" wrapText="1"/>
    </xf>
    <xf numFmtId="0" fontId="44" fillId="9" borderId="6" xfId="0" applyFont="1" applyFill="1" applyBorder="1" applyAlignment="1">
      <alignment horizontal="center" vertical="center" wrapText="1"/>
    </xf>
    <xf numFmtId="49" fontId="44" fillId="9" borderId="14" xfId="0" applyNumberFormat="1" applyFont="1" applyFill="1" applyBorder="1" applyAlignment="1">
      <alignment horizontal="center" vertical="center" wrapText="1"/>
    </xf>
    <xf numFmtId="49" fontId="44" fillId="9" borderId="15" xfId="0" applyNumberFormat="1" applyFont="1" applyFill="1" applyBorder="1" applyAlignment="1">
      <alignment horizontal="center" vertical="center" wrapText="1"/>
    </xf>
    <xf numFmtId="49" fontId="44" fillId="9" borderId="16" xfId="0" applyNumberFormat="1" applyFont="1" applyFill="1" applyBorder="1" applyAlignment="1">
      <alignment horizontal="center" vertical="center" wrapText="1"/>
    </xf>
    <xf numFmtId="49" fontId="44" fillId="6" borderId="11" xfId="0" applyNumberFormat="1" applyFont="1" applyFill="1" applyBorder="1" applyAlignment="1">
      <alignment horizontal="center" vertical="center" wrapText="1"/>
    </xf>
    <xf numFmtId="49" fontId="44" fillId="6" borderId="12" xfId="0" applyNumberFormat="1" applyFont="1" applyFill="1" applyBorder="1" applyAlignment="1">
      <alignment horizontal="center" vertical="center" wrapText="1"/>
    </xf>
    <xf numFmtId="49" fontId="44" fillId="6" borderId="13" xfId="0" applyNumberFormat="1" applyFont="1" applyFill="1" applyBorder="1" applyAlignment="1">
      <alignment horizontal="center" vertical="center" wrapText="1"/>
    </xf>
    <xf numFmtId="49" fontId="44" fillId="10" borderId="11" xfId="0" applyNumberFormat="1" applyFont="1" applyFill="1" applyBorder="1" applyAlignment="1">
      <alignment horizontal="center" vertical="center" wrapText="1"/>
    </xf>
    <xf numFmtId="49" fontId="44" fillId="10" borderId="12" xfId="0" applyNumberFormat="1" applyFont="1" applyFill="1" applyBorder="1" applyAlignment="1">
      <alignment horizontal="center" vertical="center" wrapText="1"/>
    </xf>
    <xf numFmtId="49" fontId="44" fillId="10" borderId="13" xfId="0" applyNumberFormat="1" applyFont="1" applyFill="1" applyBorder="1" applyAlignment="1">
      <alignment horizontal="center" vertical="center" wrapText="1"/>
    </xf>
    <xf numFmtId="49" fontId="44" fillId="2" borderId="11" xfId="0" applyNumberFormat="1" applyFont="1" applyFill="1" applyBorder="1" applyAlignment="1">
      <alignment horizontal="center" vertical="center" wrapText="1"/>
    </xf>
    <xf numFmtId="49" fontId="44" fillId="2" borderId="12" xfId="0" applyNumberFormat="1" applyFont="1" applyFill="1" applyBorder="1" applyAlignment="1">
      <alignment horizontal="center" vertical="center" wrapText="1"/>
    </xf>
    <xf numFmtId="49" fontId="44" fillId="2" borderId="13" xfId="0" applyNumberFormat="1" applyFont="1" applyFill="1" applyBorder="1" applyAlignment="1">
      <alignment horizontal="center" vertical="center" wrapText="1"/>
    </xf>
    <xf numFmtId="49" fontId="44" fillId="11" borderId="11" xfId="0" applyNumberFormat="1" applyFont="1" applyFill="1" applyBorder="1" applyAlignment="1">
      <alignment horizontal="center" vertical="center" wrapText="1"/>
    </xf>
    <xf numFmtId="49" fontId="44" fillId="11" borderId="12" xfId="0" applyNumberFormat="1" applyFont="1" applyFill="1" applyBorder="1" applyAlignment="1">
      <alignment horizontal="center" vertical="center" wrapText="1"/>
    </xf>
    <xf numFmtId="49" fontId="44" fillId="11" borderId="13" xfId="0" applyNumberFormat="1" applyFont="1" applyFill="1" applyBorder="1" applyAlignment="1">
      <alignment horizontal="center" vertical="center" wrapText="1"/>
    </xf>
    <xf numFmtId="49" fontId="44" fillId="9" borderId="11" xfId="0" applyNumberFormat="1" applyFont="1" applyFill="1" applyBorder="1" applyAlignment="1">
      <alignment horizontal="center" vertical="center" wrapText="1"/>
    </xf>
    <xf numFmtId="49" fontId="44" fillId="9" borderId="12" xfId="0" applyNumberFormat="1" applyFont="1" applyFill="1" applyBorder="1" applyAlignment="1">
      <alignment horizontal="center" vertical="center" wrapText="1"/>
    </xf>
    <xf numFmtId="49" fontId="44" fillId="9" borderId="13" xfId="0" applyNumberFormat="1" applyFont="1" applyFill="1" applyBorder="1" applyAlignment="1">
      <alignment horizontal="center" vertical="center" wrapText="1"/>
    </xf>
    <xf numFmtId="49" fontId="44" fillId="10" borderId="3" xfId="0" applyNumberFormat="1" applyFont="1" applyFill="1" applyBorder="1" applyAlignment="1">
      <alignment horizontal="center" vertical="center" wrapText="1"/>
    </xf>
    <xf numFmtId="0" fontId="44" fillId="10" borderId="3" xfId="0" applyFont="1" applyFill="1" applyBorder="1" applyAlignment="1">
      <alignment horizontal="center" vertical="center" wrapText="1"/>
    </xf>
    <xf numFmtId="49" fontId="44" fillId="10" borderId="15" xfId="0" applyNumberFormat="1" applyFont="1" applyFill="1" applyBorder="1" applyAlignment="1">
      <alignment horizontal="center" vertical="center" wrapText="1"/>
    </xf>
    <xf numFmtId="0" fontId="44" fillId="10" borderId="12" xfId="0" applyFont="1" applyFill="1" applyBorder="1" applyAlignment="1">
      <alignment horizontal="center" vertical="center" wrapText="1"/>
    </xf>
    <xf numFmtId="49" fontId="44" fillId="2" borderId="14" xfId="0" applyNumberFormat="1" applyFont="1" applyFill="1" applyBorder="1" applyAlignment="1">
      <alignment horizontal="center" vertical="center" wrapText="1"/>
    </xf>
    <xf numFmtId="49" fontId="44" fillId="2" borderId="15" xfId="0" applyNumberFormat="1" applyFont="1" applyFill="1" applyBorder="1" applyAlignment="1">
      <alignment horizontal="center" vertical="center" wrapText="1"/>
    </xf>
    <xf numFmtId="49" fontId="44" fillId="2" borderId="16" xfId="0" applyNumberFormat="1" applyFont="1" applyFill="1" applyBorder="1" applyAlignment="1">
      <alignment horizontal="center" vertical="center" wrapText="1"/>
    </xf>
    <xf numFmtId="0" fontId="44" fillId="2" borderId="11" xfId="0" applyFont="1" applyFill="1" applyBorder="1" applyAlignment="1">
      <alignment horizontal="center" vertical="center" wrapText="1"/>
    </xf>
    <xf numFmtId="0" fontId="44" fillId="2" borderId="12" xfId="0" applyFont="1" applyFill="1" applyBorder="1" applyAlignment="1">
      <alignment horizontal="center" vertical="center" wrapText="1"/>
    </xf>
    <xf numFmtId="0" fontId="44" fillId="2" borderId="13" xfId="0" applyFont="1" applyFill="1" applyBorder="1" applyAlignment="1">
      <alignment horizontal="center" vertical="center" wrapText="1"/>
    </xf>
    <xf numFmtId="49" fontId="45" fillId="5" borderId="0" xfId="0" applyNumberFormat="1" applyFont="1" applyFill="1" applyAlignment="1">
      <alignment horizontal="center" vertical="center"/>
    </xf>
    <xf numFmtId="0" fontId="44" fillId="11" borderId="11" xfId="0" applyFont="1" applyFill="1" applyBorder="1" applyAlignment="1">
      <alignment horizontal="center" vertical="center" wrapText="1"/>
    </xf>
    <xf numFmtId="0" fontId="44" fillId="11" borderId="12" xfId="0" applyFont="1" applyFill="1" applyBorder="1" applyAlignment="1">
      <alignment horizontal="center" vertical="center" wrapText="1"/>
    </xf>
    <xf numFmtId="0" fontId="44" fillId="11" borderId="13" xfId="0" applyFont="1" applyFill="1" applyBorder="1" applyAlignment="1">
      <alignment horizontal="center" vertical="center" wrapText="1"/>
    </xf>
    <xf numFmtId="49" fontId="44" fillId="11" borderId="14" xfId="0" applyNumberFormat="1" applyFont="1" applyFill="1" applyBorder="1" applyAlignment="1">
      <alignment horizontal="center" vertical="center" wrapText="1"/>
    </xf>
    <xf numFmtId="49" fontId="44" fillId="11" borderId="15" xfId="0" applyNumberFormat="1" applyFont="1" applyFill="1" applyBorder="1" applyAlignment="1">
      <alignment horizontal="center" vertical="center" wrapText="1"/>
    </xf>
    <xf numFmtId="49" fontId="44" fillId="11" borderId="16" xfId="0" applyNumberFormat="1" applyFont="1" applyFill="1" applyBorder="1" applyAlignment="1">
      <alignment horizontal="center" vertical="center" wrapText="1"/>
    </xf>
    <xf numFmtId="0" fontId="44" fillId="9" borderId="13" xfId="0" applyFont="1" applyFill="1" applyBorder="1" applyAlignment="1">
      <alignment horizontal="center" vertical="center" wrapText="1"/>
    </xf>
    <xf numFmtId="0" fontId="44" fillId="6" borderId="11" xfId="0" applyFont="1" applyFill="1" applyBorder="1" applyAlignment="1">
      <alignment horizontal="center" vertical="center" wrapText="1"/>
    </xf>
    <xf numFmtId="0" fontId="44" fillId="6" borderId="12" xfId="0" applyFont="1" applyFill="1" applyBorder="1" applyAlignment="1">
      <alignment horizontal="center" vertical="center" wrapText="1"/>
    </xf>
    <xf numFmtId="0" fontId="44" fillId="6" borderId="13" xfId="0" applyFont="1" applyFill="1" applyBorder="1" applyAlignment="1">
      <alignment horizontal="center" vertical="center" wrapText="1"/>
    </xf>
    <xf numFmtId="49" fontId="8" fillId="6" borderId="14" xfId="0" applyNumberFormat="1" applyFont="1" applyFill="1" applyBorder="1" applyAlignment="1">
      <alignment horizontal="center" vertical="center" wrapText="1"/>
    </xf>
    <xf numFmtId="49" fontId="8" fillId="6" borderId="15" xfId="0" applyNumberFormat="1" applyFont="1" applyFill="1" applyBorder="1" applyAlignment="1">
      <alignment horizontal="center" vertical="center" wrapText="1"/>
    </xf>
    <xf numFmtId="49" fontId="8" fillId="6" borderId="16" xfId="0" applyNumberFormat="1" applyFont="1" applyFill="1" applyBorder="1" applyAlignment="1">
      <alignment horizontal="center" vertical="center" wrapText="1"/>
    </xf>
    <xf numFmtId="49" fontId="8" fillId="10" borderId="14" xfId="0" applyNumberFormat="1" applyFont="1" applyFill="1" applyBorder="1" applyAlignment="1">
      <alignment horizontal="center" vertical="center" wrapText="1"/>
    </xf>
    <xf numFmtId="49" fontId="8" fillId="10" borderId="15" xfId="0" applyNumberFormat="1" applyFont="1" applyFill="1" applyBorder="1" applyAlignment="1">
      <alignment horizontal="center" vertical="center" wrapText="1"/>
    </xf>
    <xf numFmtId="49" fontId="8" fillId="10" borderId="16" xfId="0" applyNumberFormat="1" applyFont="1" applyFill="1" applyBorder="1" applyAlignment="1">
      <alignment horizontal="center" vertical="center" wrapText="1"/>
    </xf>
    <xf numFmtId="0" fontId="44" fillId="10" borderId="11" xfId="0" applyFont="1" applyFill="1" applyBorder="1" applyAlignment="1">
      <alignment horizontal="center" vertical="center" wrapText="1"/>
    </xf>
    <xf numFmtId="0" fontId="44" fillId="10" borderId="13" xfId="0" applyFont="1" applyFill="1" applyBorder="1" applyAlignment="1">
      <alignment horizontal="center" vertical="center" wrapText="1"/>
    </xf>
    <xf numFmtId="9" fontId="41" fillId="0" borderId="87" xfId="0" applyNumberFormat="1" applyFont="1" applyBorder="1" applyAlignment="1" applyProtection="1">
      <alignment horizontal="center" vertical="center"/>
      <protection hidden="1"/>
    </xf>
    <xf numFmtId="9" fontId="41" fillId="0" borderId="88" xfId="0" applyNumberFormat="1" applyFont="1" applyBorder="1" applyAlignment="1" applyProtection="1">
      <alignment horizontal="center" vertical="center"/>
      <protection hidden="1"/>
    </xf>
    <xf numFmtId="9" fontId="28" fillId="7" borderId="84" xfId="1" applyFont="1" applyFill="1" applyBorder="1" applyAlignment="1" applyProtection="1">
      <alignment horizontal="center" vertical="center"/>
      <protection hidden="1"/>
    </xf>
    <xf numFmtId="9" fontId="28" fillId="7" borderId="85" xfId="1" applyFont="1" applyFill="1" applyBorder="1" applyAlignment="1" applyProtection="1">
      <alignment horizontal="center" vertical="center"/>
      <protection hidden="1"/>
    </xf>
    <xf numFmtId="9" fontId="28" fillId="7" borderId="86" xfId="1" applyFont="1" applyFill="1" applyBorder="1" applyAlignment="1" applyProtection="1">
      <alignment horizontal="center" vertical="center"/>
      <protection hidden="1"/>
    </xf>
    <xf numFmtId="0" fontId="27" fillId="9" borderId="14" xfId="0" applyFont="1" applyFill="1" applyBorder="1" applyAlignment="1">
      <alignment horizontal="center" vertical="center" textRotation="90"/>
    </xf>
    <xf numFmtId="0" fontId="27" fillId="9" borderId="15" xfId="0" applyFont="1" applyFill="1" applyBorder="1" applyAlignment="1">
      <alignment horizontal="center" vertical="center" textRotation="90"/>
    </xf>
    <xf numFmtId="0" fontId="27" fillId="9" borderId="16" xfId="0" applyFont="1" applyFill="1" applyBorder="1" applyAlignment="1">
      <alignment horizontal="center" vertical="center" textRotation="90"/>
    </xf>
    <xf numFmtId="9" fontId="41" fillId="4" borderId="87" xfId="0" applyNumberFormat="1" applyFont="1" applyFill="1" applyBorder="1" applyAlignment="1" applyProtection="1">
      <alignment horizontal="center" vertical="center"/>
      <protection hidden="1"/>
    </xf>
    <xf numFmtId="9" fontId="41" fillId="4" borderId="88" xfId="0" applyNumberFormat="1" applyFont="1" applyFill="1" applyBorder="1" applyAlignment="1" applyProtection="1">
      <alignment horizontal="center" vertical="center"/>
      <protection hidden="1"/>
    </xf>
    <xf numFmtId="9" fontId="41" fillId="4" borderId="89" xfId="0" applyNumberFormat="1" applyFont="1" applyFill="1" applyBorder="1" applyAlignment="1" applyProtection="1">
      <alignment horizontal="center" vertical="center"/>
      <protection hidden="1"/>
    </xf>
    <xf numFmtId="0" fontId="27" fillId="11" borderId="15" xfId="0" applyFont="1" applyFill="1" applyBorder="1" applyAlignment="1">
      <alignment horizontal="center" vertical="center" textRotation="90"/>
    </xf>
    <xf numFmtId="0" fontId="27" fillId="2" borderId="14" xfId="0" applyFont="1" applyFill="1" applyBorder="1" applyAlignment="1">
      <alignment horizontal="center" vertical="center" textRotation="90"/>
    </xf>
    <xf numFmtId="0" fontId="27" fillId="2" borderId="15" xfId="0" applyFont="1" applyFill="1" applyBorder="1" applyAlignment="1">
      <alignment horizontal="center" vertical="center" textRotation="90"/>
    </xf>
    <xf numFmtId="0" fontId="27" fillId="2" borderId="16" xfId="0" applyFont="1" applyFill="1" applyBorder="1" applyAlignment="1">
      <alignment horizontal="center" vertical="center" textRotation="90"/>
    </xf>
    <xf numFmtId="9" fontId="41" fillId="0" borderId="89" xfId="0" applyNumberFormat="1" applyFont="1" applyBorder="1" applyAlignment="1" applyProtection="1">
      <alignment horizontal="center" vertical="center"/>
      <protection hidden="1"/>
    </xf>
    <xf numFmtId="0" fontId="27" fillId="10" borderId="14" xfId="0" applyFont="1" applyFill="1" applyBorder="1" applyAlignment="1">
      <alignment horizontal="center" vertical="center" textRotation="90"/>
    </xf>
    <xf numFmtId="0" fontId="27" fillId="10" borderId="15" xfId="0" applyFont="1" applyFill="1" applyBorder="1" applyAlignment="1">
      <alignment horizontal="center" vertical="center" textRotation="90"/>
    </xf>
    <xf numFmtId="0" fontId="19" fillId="3" borderId="32" xfId="2" applyFont="1" applyFill="1" applyBorder="1" applyAlignment="1">
      <alignment horizontal="center" vertical="center" wrapText="1"/>
    </xf>
    <xf numFmtId="0" fontId="19" fillId="3" borderId="33" xfId="2" applyFont="1" applyFill="1" applyBorder="1" applyAlignment="1">
      <alignment horizontal="center" vertical="center" wrapText="1"/>
    </xf>
    <xf numFmtId="0" fontId="23" fillId="6" borderId="14" xfId="0" applyFont="1" applyFill="1" applyBorder="1" applyAlignment="1">
      <alignment horizontal="center" vertical="center" textRotation="90" wrapText="1"/>
    </xf>
    <xf numFmtId="0" fontId="23" fillId="6" borderId="15" xfId="0" applyFont="1" applyFill="1" applyBorder="1" applyAlignment="1">
      <alignment horizontal="center" vertical="center" textRotation="90" wrapText="1"/>
    </xf>
    <xf numFmtId="0" fontId="23" fillId="6" borderId="16" xfId="0" applyFont="1" applyFill="1" applyBorder="1" applyAlignment="1">
      <alignment horizontal="center" vertical="center" textRotation="90" wrapText="1"/>
    </xf>
    <xf numFmtId="0" fontId="19" fillId="2" borderId="37" xfId="2" applyFont="1" applyFill="1" applyBorder="1" applyAlignment="1">
      <alignment horizontal="center" vertical="center" wrapText="1"/>
    </xf>
    <xf numFmtId="0" fontId="19" fillId="2" borderId="83" xfId="2" applyFont="1" applyFill="1" applyBorder="1" applyAlignment="1">
      <alignment horizontal="center" vertical="center" wrapText="1"/>
    </xf>
    <xf numFmtId="0" fontId="19" fillId="2" borderId="38" xfId="2" applyFont="1" applyFill="1" applyBorder="1" applyAlignment="1">
      <alignment horizontal="center" vertical="center" wrapText="1"/>
    </xf>
    <xf numFmtId="0" fontId="19" fillId="2" borderId="39" xfId="2" applyFont="1" applyFill="1" applyBorder="1" applyAlignment="1">
      <alignment horizontal="center" vertical="center" wrapText="1"/>
    </xf>
    <xf numFmtId="0" fontId="19" fillId="2" borderId="40" xfId="2" applyFont="1" applyFill="1" applyBorder="1" applyAlignment="1">
      <alignment horizontal="center" vertical="center" wrapText="1"/>
    </xf>
    <xf numFmtId="0" fontId="19" fillId="2" borderId="42" xfId="2" applyFont="1" applyFill="1" applyBorder="1" applyAlignment="1">
      <alignment horizontal="center" vertical="center" wrapText="1"/>
    </xf>
    <xf numFmtId="0" fontId="19" fillId="2" borderId="41" xfId="2" applyFont="1" applyFill="1" applyBorder="1" applyAlignment="1">
      <alignment horizontal="center" vertical="center" wrapText="1"/>
    </xf>
    <xf numFmtId="0" fontId="19" fillId="2" borderId="43" xfId="2" applyFont="1" applyFill="1" applyBorder="1" applyAlignment="1">
      <alignment horizontal="center" vertical="center" wrapText="1"/>
    </xf>
    <xf numFmtId="0" fontId="6" fillId="2" borderId="24" xfId="0" applyFont="1" applyFill="1" applyBorder="1" applyAlignment="1">
      <alignment horizontal="center" vertical="center"/>
    </xf>
    <xf numFmtId="0" fontId="6" fillId="2" borderId="1" xfId="0" applyFont="1" applyFill="1" applyBorder="1" applyAlignment="1">
      <alignment horizontal="center" vertical="center"/>
    </xf>
    <xf numFmtId="0" fontId="6" fillId="2" borderId="25" xfId="0" applyFont="1" applyFill="1" applyBorder="1" applyAlignment="1">
      <alignment horizontal="center" vertical="center"/>
    </xf>
    <xf numFmtId="49" fontId="49" fillId="4" borderId="91" xfId="0" applyNumberFormat="1" applyFont="1" applyFill="1" applyBorder="1" applyAlignment="1">
      <alignment horizontal="left" vertical="center" wrapText="1"/>
    </xf>
    <xf numFmtId="49" fontId="49" fillId="4" borderId="3" xfId="0" applyNumberFormat="1" applyFont="1" applyFill="1" applyBorder="1" applyAlignment="1">
      <alignment horizontal="left" vertical="center" wrapText="1"/>
    </xf>
    <xf numFmtId="49" fontId="49" fillId="4" borderId="92" xfId="0" applyNumberFormat="1" applyFont="1" applyFill="1" applyBorder="1" applyAlignment="1">
      <alignment horizontal="left" vertical="center" wrapText="1"/>
    </xf>
    <xf numFmtId="49" fontId="49" fillId="4" borderId="4" xfId="0" applyNumberFormat="1" applyFont="1" applyFill="1" applyBorder="1" applyAlignment="1">
      <alignment horizontal="left" vertical="center" wrapText="1"/>
    </xf>
    <xf numFmtId="0" fontId="51" fillId="2" borderId="7" xfId="0" applyFont="1" applyFill="1" applyBorder="1" applyAlignment="1">
      <alignment horizontal="center" vertical="center" wrapText="1"/>
    </xf>
    <xf numFmtId="0" fontId="51" fillId="2" borderId="6" xfId="0" applyFont="1" applyFill="1" applyBorder="1" applyAlignment="1">
      <alignment horizontal="center" vertical="center" wrapText="1"/>
    </xf>
    <xf numFmtId="0" fontId="56" fillId="4" borderId="3" xfId="0" applyFont="1" applyFill="1" applyBorder="1" applyAlignment="1" applyProtection="1">
      <alignment horizontal="center" vertical="center"/>
      <protection locked="0"/>
    </xf>
    <xf numFmtId="164" fontId="56" fillId="4" borderId="22" xfId="0" applyNumberFormat="1" applyFont="1" applyFill="1" applyBorder="1" applyAlignment="1" applyProtection="1">
      <alignment horizontal="center" vertical="center"/>
      <protection locked="0"/>
    </xf>
    <xf numFmtId="164" fontId="56" fillId="4" borderId="23" xfId="0" applyNumberFormat="1" applyFont="1" applyFill="1" applyBorder="1" applyAlignment="1" applyProtection="1">
      <alignment horizontal="center" vertical="center"/>
      <protection locked="0"/>
    </xf>
    <xf numFmtId="164" fontId="56" fillId="4" borderId="9" xfId="0" applyNumberFormat="1" applyFont="1" applyFill="1" applyBorder="1" applyAlignment="1" applyProtection="1">
      <alignment horizontal="center" vertical="center"/>
      <protection locked="0"/>
    </xf>
    <xf numFmtId="0" fontId="52" fillId="2" borderId="24" xfId="0" applyFont="1" applyFill="1" applyBorder="1" applyAlignment="1">
      <alignment horizontal="center" vertical="center" wrapText="1"/>
    </xf>
    <xf numFmtId="0" fontId="52" fillId="2" borderId="1" xfId="0" applyFont="1" applyFill="1" applyBorder="1" applyAlignment="1">
      <alignment horizontal="center" vertical="center" wrapText="1"/>
    </xf>
    <xf numFmtId="0" fontId="52" fillId="2" borderId="25" xfId="0" applyFont="1" applyFill="1" applyBorder="1" applyAlignment="1">
      <alignment horizontal="center" vertical="center" wrapText="1"/>
    </xf>
    <xf numFmtId="0" fontId="9" fillId="2" borderId="27" xfId="0" applyFont="1" applyFill="1" applyBorder="1" applyAlignment="1">
      <alignment horizontal="center" vertical="center"/>
    </xf>
    <xf numFmtId="0" fontId="9" fillId="2" borderId="28" xfId="0" applyFont="1" applyFill="1" applyBorder="1" applyAlignment="1">
      <alignment horizontal="center" vertical="center"/>
    </xf>
    <xf numFmtId="0" fontId="9" fillId="2" borderId="29" xfId="0" applyFont="1" applyFill="1" applyBorder="1" applyAlignment="1">
      <alignment horizontal="center" vertical="center"/>
    </xf>
    <xf numFmtId="49" fontId="49" fillId="4" borderId="90" xfId="0" applyNumberFormat="1" applyFont="1" applyFill="1" applyBorder="1" applyAlignment="1">
      <alignment horizontal="left" vertical="center" wrapText="1"/>
    </xf>
    <xf numFmtId="49" fontId="49" fillId="4" borderId="2" xfId="0" applyNumberFormat="1" applyFont="1" applyFill="1" applyBorder="1" applyAlignment="1">
      <alignment horizontal="left" vertical="center" wrapText="1"/>
    </xf>
    <xf numFmtId="49" fontId="0" fillId="4" borderId="2" xfId="0" applyNumberFormat="1" applyFill="1" applyBorder="1" applyAlignment="1" applyProtection="1">
      <alignment horizontal="left" vertical="top" wrapText="1"/>
      <protection locked="0"/>
    </xf>
    <xf numFmtId="49" fontId="0" fillId="4" borderId="84" xfId="0" applyNumberFormat="1" applyFill="1" applyBorder="1" applyAlignment="1" applyProtection="1">
      <alignment horizontal="left" vertical="top" wrapText="1"/>
      <protection locked="0"/>
    </xf>
    <xf numFmtId="49" fontId="0" fillId="4" borderId="3" xfId="0" applyNumberFormat="1" applyFill="1" applyBorder="1" applyAlignment="1" applyProtection="1">
      <alignment horizontal="left" vertical="top" wrapText="1"/>
      <protection locked="0"/>
    </xf>
    <xf numFmtId="49" fontId="0" fillId="4" borderId="85" xfId="0" applyNumberFormat="1" applyFill="1" applyBorder="1" applyAlignment="1" applyProtection="1">
      <alignment horizontal="left" vertical="top" wrapText="1"/>
      <protection locked="0"/>
    </xf>
    <xf numFmtId="49" fontId="0" fillId="4" borderId="4" xfId="0" applyNumberFormat="1" applyFill="1" applyBorder="1" applyAlignment="1" applyProtection="1">
      <alignment horizontal="left" vertical="top" wrapText="1"/>
      <protection locked="0"/>
    </xf>
    <xf numFmtId="49" fontId="0" fillId="4" borderId="86" xfId="0" applyNumberFormat="1" applyFill="1" applyBorder="1" applyAlignment="1" applyProtection="1">
      <alignment horizontal="left" vertical="top" wrapText="1"/>
      <protection locked="0"/>
    </xf>
    <xf numFmtId="0" fontId="0" fillId="0" borderId="24" xfId="0" applyBorder="1" applyAlignment="1" applyProtection="1">
      <alignment horizontal="left" wrapText="1"/>
      <protection locked="0"/>
    </xf>
    <xf numFmtId="0" fontId="0" fillId="0" borderId="1" xfId="0" applyBorder="1" applyAlignment="1" applyProtection="1">
      <alignment horizontal="left"/>
      <protection locked="0"/>
    </xf>
    <xf numFmtId="0" fontId="0" fillId="0" borderId="25" xfId="0" applyBorder="1" applyAlignment="1" applyProtection="1">
      <alignment horizontal="left"/>
      <protection locked="0"/>
    </xf>
    <xf numFmtId="0" fontId="0" fillId="0" borderId="24" xfId="0" applyBorder="1" applyAlignment="1" applyProtection="1">
      <alignment horizontal="left" vertical="top" wrapText="1"/>
      <protection locked="0"/>
    </xf>
    <xf numFmtId="0" fontId="0" fillId="0" borderId="1" xfId="0" applyBorder="1" applyAlignment="1" applyProtection="1">
      <alignment horizontal="left" vertical="top"/>
      <protection locked="0"/>
    </xf>
    <xf numFmtId="0" fontId="0" fillId="0" borderId="25" xfId="0" applyBorder="1" applyAlignment="1" applyProtection="1">
      <alignment horizontal="left" vertical="top"/>
      <protection locked="0"/>
    </xf>
    <xf numFmtId="0" fontId="52" fillId="12" borderId="0" xfId="0" applyFont="1" applyFill="1" applyAlignment="1">
      <alignment horizontal="center" vertical="center" wrapText="1"/>
    </xf>
    <xf numFmtId="0" fontId="57" fillId="0" borderId="24" xfId="0" applyFont="1" applyBorder="1" applyAlignment="1" applyProtection="1">
      <alignment horizontal="left" vertical="top" wrapText="1"/>
      <protection locked="0"/>
    </xf>
    <xf numFmtId="0" fontId="57" fillId="0" borderId="1" xfId="0" applyFont="1" applyBorder="1" applyAlignment="1" applyProtection="1">
      <alignment horizontal="left" vertical="top"/>
      <protection locked="0"/>
    </xf>
    <xf numFmtId="0" fontId="57" fillId="0" borderId="25" xfId="0" applyFont="1" applyBorder="1" applyAlignment="1" applyProtection="1">
      <alignment horizontal="left" vertical="top"/>
      <protection locked="0"/>
    </xf>
    <xf numFmtId="0" fontId="0" fillId="0" borderId="73" xfId="0" applyBorder="1" applyAlignment="1">
      <alignment horizontal="center"/>
    </xf>
    <xf numFmtId="0" fontId="0" fillId="0" borderId="1" xfId="0" applyBorder="1" applyAlignment="1">
      <alignment horizontal="center"/>
    </xf>
  </cellXfs>
  <cellStyles count="5">
    <cellStyle name="Normal" xfId="0" builtinId="0"/>
    <cellStyle name="Normal - Style1 2" xfId="3" xr:uid="{00000000-0005-0000-0000-000001000000}"/>
    <cellStyle name="Normal 2" xfId="2" xr:uid="{00000000-0005-0000-0000-000002000000}"/>
    <cellStyle name="Normal 2 2" xfId="4" xr:uid="{00000000-0005-0000-0000-000003000000}"/>
    <cellStyle name="Porcentaje" xfId="1" builtinId="5"/>
  </cellStyles>
  <dxfs count="20">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FF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1050132</xdr:colOff>
      <xdr:row>0</xdr:row>
      <xdr:rowOff>66818</xdr:rowOff>
    </xdr:from>
    <xdr:to>
      <xdr:col>7</xdr:col>
      <xdr:colOff>726282</xdr:colOff>
      <xdr:row>11</xdr:row>
      <xdr:rowOff>47624</xdr:rowOff>
    </xdr:to>
    <xdr:pic>
      <xdr:nvPicPr>
        <xdr:cNvPr id="2" name="Imagen 1">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a:stretch>
          <a:fillRect/>
        </a:stretch>
      </xdr:blipFill>
      <xdr:spPr>
        <a:xfrm>
          <a:off x="7169945" y="66818"/>
          <a:ext cx="3676650" cy="233824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281667</xdr:colOff>
      <xdr:row>7</xdr:row>
      <xdr:rowOff>102768</xdr:rowOff>
    </xdr:from>
    <xdr:to>
      <xdr:col>6</xdr:col>
      <xdr:colOff>595313</xdr:colOff>
      <xdr:row>14</xdr:row>
      <xdr:rowOff>55289</xdr:rowOff>
    </xdr:to>
    <xdr:pic>
      <xdr:nvPicPr>
        <xdr:cNvPr id="4" name="Imagen 3">
          <a:extLst>
            <a:ext uri="{FF2B5EF4-FFF2-40B4-BE49-F238E27FC236}">
              <a16:creationId xmlns:a16="http://schemas.microsoft.com/office/drawing/2014/main" id="{00000000-0008-0000-0800-000003000000}"/>
            </a:ext>
          </a:extLst>
        </xdr:cNvPr>
        <xdr:cNvPicPr>
          <a:picLocks noChangeAspect="1"/>
        </xdr:cNvPicPr>
      </xdr:nvPicPr>
      <xdr:blipFill>
        <a:blip xmlns:r="http://schemas.openxmlformats.org/officeDocument/2006/relationships" r:embed="rId1"/>
        <a:stretch>
          <a:fillRect/>
        </a:stretch>
      </xdr:blipFill>
      <xdr:spPr>
        <a:xfrm>
          <a:off x="4567917" y="2037534"/>
          <a:ext cx="3959935" cy="234865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dell\Desktop\cesar\HISTORICOS\2020-04-22_Formato_informe_sci_parametrizado_fin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vo"/>
      <sheetName val="Definiciones"/>
      <sheetName val="Ambiente de Control"/>
      <sheetName val="Evaluación de riesgos"/>
      <sheetName val="Actividades de control"/>
      <sheetName val="Info y Comunicación"/>
      <sheetName val="Actividades de Monitoreo"/>
      <sheetName val="Analisis de Resultados"/>
      <sheetName val="Conclusiones"/>
      <sheetName val="Hoja1"/>
      <sheetName val="Hoja4"/>
      <sheetName val="Hoja2"/>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54"/>
  <sheetViews>
    <sheetView topLeftCell="A3" zoomScale="90" zoomScaleNormal="90" workbookViewId="0">
      <selection activeCell="B6" sqref="B6:H7"/>
    </sheetView>
  </sheetViews>
  <sheetFormatPr baseColWidth="10" defaultColWidth="0" defaultRowHeight="12.75" zeroHeight="1" x14ac:dyDescent="0.2"/>
  <cols>
    <col min="1" max="1" width="3.85546875" style="42" customWidth="1"/>
    <col min="2" max="2" width="15.28515625" style="42" customWidth="1"/>
    <col min="3" max="3" width="17.28515625" style="42" customWidth="1"/>
    <col min="4" max="4" width="28.5703125" style="42" customWidth="1"/>
    <col min="5" max="5" width="12.85546875" style="42" customWidth="1"/>
    <col min="6" max="6" width="47.140625" style="42" customWidth="1"/>
    <col min="7" max="7" width="21.42578125" style="42" customWidth="1"/>
    <col min="8" max="8" width="6.5703125" style="42" customWidth="1"/>
    <col min="9" max="9" width="2.5703125" style="42" customWidth="1"/>
    <col min="10" max="16384" width="11.42578125" style="42" hidden="1"/>
  </cols>
  <sheetData>
    <row r="1" spans="2:8" ht="13.5" thickBot="1" x14ac:dyDescent="0.25"/>
    <row r="2" spans="2:8" ht="73.5" customHeight="1" x14ac:dyDescent="0.2">
      <c r="B2" s="152" t="s">
        <v>0</v>
      </c>
      <c r="C2" s="153"/>
      <c r="D2" s="153"/>
      <c r="E2" s="153"/>
      <c r="F2" s="153"/>
      <c r="G2" s="153"/>
      <c r="H2" s="154"/>
    </row>
    <row r="3" spans="2:8" ht="65.25" customHeight="1" x14ac:dyDescent="0.2">
      <c r="B3" s="155" t="s">
        <v>1</v>
      </c>
      <c r="C3" s="156"/>
      <c r="D3" s="156"/>
      <c r="E3" s="156"/>
      <c r="F3" s="156"/>
      <c r="G3" s="156"/>
      <c r="H3" s="157"/>
    </row>
    <row r="4" spans="2:8" ht="82.5" customHeight="1" x14ac:dyDescent="0.2">
      <c r="B4" s="155"/>
      <c r="C4" s="156"/>
      <c r="D4" s="156"/>
      <c r="E4" s="156"/>
      <c r="F4" s="156"/>
      <c r="G4" s="156"/>
      <c r="H4" s="157"/>
    </row>
    <row r="5" spans="2:8" ht="21.75" customHeight="1" x14ac:dyDescent="0.2">
      <c r="B5" s="158" t="s">
        <v>2</v>
      </c>
      <c r="C5" s="159"/>
      <c r="D5" s="159"/>
      <c r="E5" s="159"/>
      <c r="F5" s="159"/>
      <c r="G5" s="159"/>
      <c r="H5" s="160"/>
    </row>
    <row r="6" spans="2:8" ht="42" customHeight="1" x14ac:dyDescent="0.2">
      <c r="B6" s="161" t="s">
        <v>3</v>
      </c>
      <c r="C6" s="162"/>
      <c r="D6" s="162"/>
      <c r="E6" s="162"/>
      <c r="F6" s="162"/>
      <c r="G6" s="162"/>
      <c r="H6" s="163"/>
    </row>
    <row r="7" spans="2:8" ht="14.25" customHeight="1" x14ac:dyDescent="0.2">
      <c r="B7" s="161"/>
      <c r="C7" s="162"/>
      <c r="D7" s="162"/>
      <c r="E7" s="162"/>
      <c r="F7" s="162"/>
      <c r="G7" s="162"/>
      <c r="H7" s="163"/>
    </row>
    <row r="8" spans="2:8" ht="12.75" customHeight="1" thickBot="1" x14ac:dyDescent="0.25">
      <c r="B8" s="54"/>
      <c r="C8" s="48"/>
      <c r="D8" s="63"/>
      <c r="E8" s="64"/>
      <c r="F8" s="64"/>
      <c r="G8" s="62"/>
      <c r="H8" s="56"/>
    </row>
    <row r="9" spans="2:8" ht="21" customHeight="1" thickTop="1" x14ac:dyDescent="0.2">
      <c r="B9" s="54"/>
      <c r="C9" s="164" t="s">
        <v>4</v>
      </c>
      <c r="D9" s="165"/>
      <c r="E9" s="166" t="s">
        <v>5</v>
      </c>
      <c r="F9" s="167"/>
      <c r="G9" s="48"/>
      <c r="H9" s="56"/>
    </row>
    <row r="10" spans="2:8" ht="37.5" customHeight="1" x14ac:dyDescent="0.2">
      <c r="B10" s="54"/>
      <c r="C10" s="168" t="s">
        <v>6</v>
      </c>
      <c r="D10" s="169"/>
      <c r="E10" s="170" t="s">
        <v>7</v>
      </c>
      <c r="F10" s="171"/>
      <c r="G10" s="48"/>
      <c r="H10" s="56"/>
    </row>
    <row r="11" spans="2:8" ht="39.75" customHeight="1" x14ac:dyDescent="0.2">
      <c r="B11" s="54"/>
      <c r="C11" s="172" t="s">
        <v>8</v>
      </c>
      <c r="D11" s="173"/>
      <c r="E11" s="174" t="s">
        <v>9</v>
      </c>
      <c r="F11" s="175"/>
      <c r="G11" s="48"/>
      <c r="H11" s="56"/>
    </row>
    <row r="12" spans="2:8" ht="59.25" customHeight="1" x14ac:dyDescent="0.2">
      <c r="B12" s="54"/>
      <c r="C12" s="172" t="s">
        <v>10</v>
      </c>
      <c r="D12" s="173"/>
      <c r="E12" s="176" t="s">
        <v>11</v>
      </c>
      <c r="F12" s="177"/>
      <c r="G12" s="48"/>
      <c r="H12" s="56"/>
    </row>
    <row r="13" spans="2:8" ht="33.75" customHeight="1" x14ac:dyDescent="0.2">
      <c r="B13" s="54"/>
      <c r="C13" s="182" t="s">
        <v>12</v>
      </c>
      <c r="D13" s="183"/>
      <c r="E13" s="174" t="s">
        <v>13</v>
      </c>
      <c r="F13" s="175"/>
      <c r="G13" s="48"/>
      <c r="H13" s="56"/>
    </row>
    <row r="14" spans="2:8" ht="19.5" customHeight="1" x14ac:dyDescent="0.2">
      <c r="B14" s="54"/>
      <c r="C14" s="60"/>
      <c r="D14" s="60"/>
      <c r="E14" s="61"/>
      <c r="F14" s="61"/>
      <c r="G14" s="48"/>
      <c r="H14" s="56"/>
    </row>
    <row r="15" spans="2:8" ht="37.5" customHeight="1" thickBot="1" x14ac:dyDescent="0.25">
      <c r="B15" s="178" t="s">
        <v>14</v>
      </c>
      <c r="C15" s="179"/>
      <c r="D15" s="179"/>
      <c r="E15" s="179"/>
      <c r="F15" s="179"/>
      <c r="G15" s="179"/>
      <c r="H15" s="180"/>
    </row>
    <row r="16" spans="2:8" ht="27.75" customHeight="1" thickBot="1" x14ac:dyDescent="0.25">
      <c r="B16" s="54"/>
      <c r="C16" s="184" t="s">
        <v>15</v>
      </c>
      <c r="D16" s="185"/>
      <c r="E16" s="185" t="s">
        <v>16</v>
      </c>
      <c r="F16" s="196"/>
      <c r="G16" s="48"/>
      <c r="H16" s="56"/>
    </row>
    <row r="17" spans="2:8" ht="27.75" customHeight="1" x14ac:dyDescent="0.2">
      <c r="B17" s="54"/>
      <c r="C17" s="197" t="s">
        <v>17</v>
      </c>
      <c r="D17" s="198"/>
      <c r="E17" s="199" t="s">
        <v>18</v>
      </c>
      <c r="F17" s="200"/>
      <c r="G17" s="93"/>
      <c r="H17" s="56"/>
    </row>
    <row r="18" spans="2:8" ht="41.25" customHeight="1" x14ac:dyDescent="0.2">
      <c r="B18" s="54"/>
      <c r="C18" s="186" t="s">
        <v>19</v>
      </c>
      <c r="D18" s="187"/>
      <c r="E18" s="188" t="s">
        <v>20</v>
      </c>
      <c r="F18" s="189"/>
      <c r="G18" s="94"/>
      <c r="H18" s="56"/>
    </row>
    <row r="19" spans="2:8" ht="37.5" customHeight="1" thickBot="1" x14ac:dyDescent="0.25">
      <c r="B19" s="54"/>
      <c r="C19" s="190" t="s">
        <v>21</v>
      </c>
      <c r="D19" s="191"/>
      <c r="E19" s="192" t="s">
        <v>22</v>
      </c>
      <c r="F19" s="193"/>
      <c r="G19" s="94"/>
      <c r="H19" s="56"/>
    </row>
    <row r="20" spans="2:8" ht="11.25" customHeight="1" x14ac:dyDescent="0.2">
      <c r="B20" s="49"/>
      <c r="C20" s="50"/>
      <c r="D20" s="50"/>
      <c r="E20" s="50"/>
      <c r="F20" s="50"/>
      <c r="G20" s="50"/>
      <c r="H20" s="51"/>
    </row>
    <row r="21" spans="2:8" ht="14.25" customHeight="1" x14ac:dyDescent="0.2">
      <c r="B21" s="52"/>
      <c r="C21" s="194"/>
      <c r="D21" s="194"/>
      <c r="E21" s="195"/>
      <c r="F21" s="195"/>
      <c r="G21" s="195"/>
      <c r="H21" s="53"/>
    </row>
    <row r="22" spans="2:8" ht="36" customHeight="1" x14ac:dyDescent="0.2">
      <c r="B22" s="178" t="s">
        <v>23</v>
      </c>
      <c r="C22" s="179"/>
      <c r="D22" s="179"/>
      <c r="E22" s="179"/>
      <c r="F22" s="179"/>
      <c r="G22" s="179"/>
      <c r="H22" s="180"/>
    </row>
    <row r="23" spans="2:8" ht="13.5" x14ac:dyDescent="0.2">
      <c r="B23" s="54"/>
      <c r="C23" s="55"/>
      <c r="D23" s="55"/>
      <c r="E23" s="181"/>
      <c r="F23" s="181"/>
      <c r="G23" s="48"/>
      <c r="H23" s="56"/>
    </row>
    <row r="24" spans="2:8" ht="13.5" thickBot="1" x14ac:dyDescent="0.25">
      <c r="B24" s="57"/>
      <c r="C24" s="58"/>
      <c r="D24" s="58"/>
      <c r="E24" s="58"/>
      <c r="F24" s="58"/>
      <c r="G24" s="58"/>
      <c r="H24" s="59"/>
    </row>
    <row r="25" spans="2:8" x14ac:dyDescent="0.2"/>
    <row r="26" spans="2:8" ht="29.25" customHeight="1" x14ac:dyDescent="0.2"/>
    <row r="27" spans="2:8" ht="26.25" customHeight="1" x14ac:dyDescent="0.2"/>
    <row r="28" spans="2:8" ht="43.5" customHeight="1" x14ac:dyDescent="0.2"/>
    <row r="29" spans="2:8" ht="53.25" customHeight="1" x14ac:dyDescent="0.2"/>
    <row r="30" spans="2:8" x14ac:dyDescent="0.2"/>
    <row r="31" spans="2:8" x14ac:dyDescent="0.2"/>
    <row r="32" spans="2:8" x14ac:dyDescent="0.2"/>
    <row r="33" x14ac:dyDescent="0.2"/>
    <row r="34" x14ac:dyDescent="0.2"/>
    <row r="35" x14ac:dyDescent="0.2"/>
    <row r="36" ht="12.75" customHeight="1" x14ac:dyDescent="0.2"/>
    <row r="37" ht="12.75" customHeight="1" x14ac:dyDescent="0.2"/>
    <row r="38" ht="12.75" customHeight="1" x14ac:dyDescent="0.2"/>
    <row r="39" ht="12.75" customHeight="1" x14ac:dyDescent="0.2"/>
    <row r="40" ht="12.75" customHeight="1" x14ac:dyDescent="0.2"/>
    <row r="41" ht="12.75" customHeight="1" x14ac:dyDescent="0.2"/>
    <row r="42" ht="12.75" customHeight="1" x14ac:dyDescent="0.2"/>
    <row r="43" ht="12.75" customHeight="1" x14ac:dyDescent="0.2"/>
    <row r="44" ht="12.75" customHeight="1" x14ac:dyDescent="0.2"/>
    <row r="45" ht="12.75" customHeight="1" x14ac:dyDescent="0.2"/>
    <row r="46" ht="12.75" customHeight="1" x14ac:dyDescent="0.2"/>
    <row r="47" ht="12.75" customHeight="1" x14ac:dyDescent="0.2"/>
    <row r="48" x14ac:dyDescent="0.2"/>
    <row r="52" x14ac:dyDescent="0.2"/>
    <row r="54" x14ac:dyDescent="0.2"/>
  </sheetData>
  <sheetProtection algorithmName="SHA-512" hashValue="t7sIeOvFa2bhukBsHVcHmO5gG9cifT20ZR8W/o5PL1FLs7w8K+KkEm6wLVbMVfYFM8W9luBRuNKu+qdhAWPM7w==" saltValue="H/shNuEdnFDauevCofk8Sw==" spinCount="100000" sheet="1" objects="1" scenarios="1"/>
  <mergeCells count="27">
    <mergeCell ref="B22:H22"/>
    <mergeCell ref="E23:F23"/>
    <mergeCell ref="C13:D13"/>
    <mergeCell ref="E13:F13"/>
    <mergeCell ref="C16:D16"/>
    <mergeCell ref="C18:D18"/>
    <mergeCell ref="E18:F18"/>
    <mergeCell ref="C19:D19"/>
    <mergeCell ref="E19:F19"/>
    <mergeCell ref="C21:D21"/>
    <mergeCell ref="E21:G21"/>
    <mergeCell ref="B15:H15"/>
    <mergeCell ref="E16:F16"/>
    <mergeCell ref="C17:D17"/>
    <mergeCell ref="E17:F17"/>
    <mergeCell ref="C10:D10"/>
    <mergeCell ref="E10:F10"/>
    <mergeCell ref="C11:D11"/>
    <mergeCell ref="E11:F11"/>
    <mergeCell ref="C12:D12"/>
    <mergeCell ref="E12:F12"/>
    <mergeCell ref="B2:H2"/>
    <mergeCell ref="B3:H4"/>
    <mergeCell ref="B5:H5"/>
    <mergeCell ref="B6:H7"/>
    <mergeCell ref="C9:D9"/>
    <mergeCell ref="E9:F9"/>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F59"/>
  <sheetViews>
    <sheetView showGridLines="0" topLeftCell="B53" zoomScale="80" zoomScaleNormal="80" workbookViewId="0">
      <selection activeCell="H60" sqref="H60"/>
    </sheetView>
  </sheetViews>
  <sheetFormatPr baseColWidth="10" defaultColWidth="11.42578125" defaultRowHeight="16.5" x14ac:dyDescent="0.3"/>
  <cols>
    <col min="1" max="1" width="3" style="44" hidden="1" customWidth="1"/>
    <col min="2" max="2" width="9.42578125" style="44" customWidth="1"/>
    <col min="3" max="3" width="25.5703125" style="44" customWidth="1"/>
    <col min="4" max="4" width="46.5703125" style="44" customWidth="1"/>
    <col min="5" max="5" width="10.140625" style="66" customWidth="1"/>
    <col min="6" max="6" width="44.5703125" style="66" customWidth="1"/>
    <col min="7" max="7" width="15.42578125" style="44" customWidth="1"/>
    <col min="8" max="9" width="43" style="44" customWidth="1"/>
    <col min="10" max="12" width="11.42578125" style="69" customWidth="1"/>
    <col min="13" max="24" width="11.42578125" style="44" customWidth="1"/>
    <col min="25" max="16384" width="11.42578125" style="44"/>
  </cols>
  <sheetData>
    <row r="1" spans="1:32" x14ac:dyDescent="0.3">
      <c r="B1" s="43"/>
      <c r="C1" s="43"/>
      <c r="D1" s="43"/>
      <c r="E1" s="65"/>
      <c r="F1" s="65"/>
      <c r="G1" s="43"/>
      <c r="H1" s="43"/>
      <c r="I1" s="43"/>
      <c r="J1" s="67"/>
      <c r="K1" s="67"/>
      <c r="L1" s="67"/>
      <c r="M1" s="43"/>
      <c r="N1" s="43"/>
      <c r="O1" s="43"/>
      <c r="P1" s="43"/>
      <c r="Q1" s="43"/>
      <c r="R1" s="43"/>
      <c r="S1" s="43"/>
      <c r="T1" s="43"/>
      <c r="U1" s="43"/>
      <c r="V1" s="43"/>
      <c r="W1" s="43"/>
      <c r="X1" s="43"/>
    </row>
    <row r="2" spans="1:32" x14ac:dyDescent="0.3">
      <c r="B2" s="43"/>
      <c r="C2" s="43"/>
      <c r="D2" s="43"/>
      <c r="E2" s="65"/>
      <c r="F2" s="65"/>
      <c r="G2" s="43"/>
      <c r="H2" s="43"/>
      <c r="I2" s="43"/>
      <c r="J2" s="67"/>
      <c r="K2" s="67"/>
      <c r="L2" s="67"/>
      <c r="M2" s="43"/>
      <c r="N2" s="43"/>
      <c r="O2" s="43"/>
      <c r="P2" s="43"/>
      <c r="Q2" s="43"/>
      <c r="R2" s="43"/>
      <c r="S2" s="43"/>
      <c r="T2" s="43"/>
      <c r="U2" s="43"/>
      <c r="V2" s="43"/>
      <c r="W2" s="43"/>
      <c r="X2" s="43"/>
    </row>
    <row r="3" spans="1:32" x14ac:dyDescent="0.3">
      <c r="B3" s="43"/>
      <c r="C3" s="43"/>
      <c r="D3" s="43"/>
      <c r="E3" s="65"/>
      <c r="F3" s="65"/>
      <c r="G3" s="43"/>
      <c r="H3" s="43"/>
      <c r="I3" s="43"/>
      <c r="J3" s="67"/>
      <c r="K3" s="67"/>
      <c r="L3" s="67"/>
      <c r="M3" s="43"/>
      <c r="N3" s="43"/>
      <c r="O3" s="43"/>
      <c r="P3" s="43"/>
      <c r="Q3" s="43"/>
      <c r="R3" s="43"/>
      <c r="S3" s="43"/>
      <c r="T3" s="43"/>
      <c r="U3" s="43"/>
      <c r="V3" s="43"/>
      <c r="W3" s="43"/>
      <c r="X3" s="43"/>
    </row>
    <row r="4" spans="1:32" x14ac:dyDescent="0.3">
      <c r="B4" s="43"/>
      <c r="C4" s="43"/>
      <c r="D4" s="43"/>
      <c r="E4" s="65"/>
      <c r="F4" s="65"/>
      <c r="G4" s="43"/>
      <c r="H4" s="43"/>
      <c r="I4" s="43"/>
      <c r="J4" s="67"/>
      <c r="K4" s="67"/>
      <c r="L4" s="67"/>
      <c r="M4" s="43"/>
      <c r="N4" s="43"/>
      <c r="O4" s="43"/>
      <c r="P4" s="43"/>
      <c r="Q4" s="43"/>
      <c r="R4" s="43"/>
      <c r="S4" s="43"/>
      <c r="T4" s="43"/>
      <c r="U4" s="43"/>
      <c r="V4" s="43"/>
      <c r="W4" s="43"/>
      <c r="X4" s="43"/>
    </row>
    <row r="5" spans="1:32" x14ac:dyDescent="0.3">
      <c r="B5" s="43"/>
      <c r="C5" s="43"/>
      <c r="D5" s="43"/>
      <c r="E5" s="65"/>
      <c r="F5" s="65"/>
      <c r="G5" s="43"/>
      <c r="H5" s="43"/>
      <c r="I5" s="43"/>
      <c r="J5" s="67"/>
      <c r="K5" s="67"/>
      <c r="L5" s="67"/>
      <c r="M5" s="43"/>
      <c r="N5" s="43"/>
      <c r="O5" s="43"/>
      <c r="P5" s="43"/>
      <c r="Q5" s="43"/>
      <c r="R5" s="43"/>
      <c r="S5" s="43"/>
      <c r="T5" s="43"/>
      <c r="U5" s="43"/>
      <c r="V5" s="43"/>
      <c r="W5" s="43"/>
      <c r="X5" s="43"/>
    </row>
    <row r="6" spans="1:32" x14ac:dyDescent="0.3">
      <c r="B6" s="43"/>
      <c r="C6" s="43"/>
      <c r="D6" s="43"/>
      <c r="E6" s="65"/>
      <c r="F6" s="65"/>
      <c r="G6" s="43"/>
      <c r="H6" s="43"/>
      <c r="I6" s="43"/>
      <c r="J6" s="67"/>
      <c r="K6" s="67"/>
      <c r="L6" s="67"/>
      <c r="M6" s="43"/>
      <c r="N6" s="43"/>
      <c r="O6" s="43"/>
      <c r="P6" s="43"/>
      <c r="Q6" s="43"/>
      <c r="R6" s="43"/>
      <c r="S6" s="43"/>
      <c r="T6" s="43"/>
      <c r="U6" s="43"/>
      <c r="V6" s="43"/>
      <c r="W6" s="43"/>
      <c r="X6" s="43"/>
    </row>
    <row r="7" spans="1:32" x14ac:dyDescent="0.3">
      <c r="B7" s="43"/>
      <c r="C7" s="43"/>
      <c r="D7" s="43"/>
      <c r="E7" s="65"/>
      <c r="F7" s="65"/>
      <c r="G7" s="43"/>
      <c r="H7" s="43"/>
      <c r="I7" s="43"/>
      <c r="J7" s="67"/>
      <c r="K7" s="67"/>
      <c r="L7" s="67"/>
      <c r="M7" s="43"/>
      <c r="N7" s="43"/>
      <c r="O7" s="43"/>
      <c r="P7" s="43"/>
      <c r="Q7" s="43"/>
      <c r="R7" s="43"/>
      <c r="S7" s="43"/>
      <c r="T7" s="43"/>
      <c r="U7" s="43"/>
      <c r="V7" s="43"/>
      <c r="W7" s="43"/>
      <c r="X7" s="43"/>
    </row>
    <row r="8" spans="1:32" x14ac:dyDescent="0.3">
      <c r="B8" s="43"/>
      <c r="C8" s="43"/>
      <c r="D8" s="43"/>
      <c r="E8" s="65"/>
      <c r="F8" s="65"/>
      <c r="G8" s="43"/>
      <c r="H8" s="43"/>
      <c r="I8" s="43"/>
      <c r="J8" s="67"/>
      <c r="K8" s="67"/>
      <c r="L8" s="67"/>
      <c r="M8" s="43"/>
      <c r="N8" s="43"/>
      <c r="O8" s="43"/>
      <c r="P8" s="43"/>
      <c r="Q8" s="43"/>
      <c r="R8" s="43"/>
      <c r="S8" s="43"/>
      <c r="T8" s="43"/>
      <c r="U8" s="43"/>
      <c r="V8" s="43"/>
      <c r="W8" s="43"/>
      <c r="X8" s="43"/>
    </row>
    <row r="9" spans="1:32" x14ac:dyDescent="0.3">
      <c r="B9" s="43"/>
      <c r="C9" s="43"/>
      <c r="D9" s="43"/>
      <c r="E9" s="65"/>
      <c r="F9" s="65"/>
      <c r="G9" s="43"/>
      <c r="H9" s="43"/>
      <c r="I9" s="43"/>
      <c r="J9" s="67"/>
      <c r="K9" s="67"/>
      <c r="L9" s="67"/>
      <c r="M9" s="43"/>
      <c r="N9" s="43"/>
      <c r="O9" s="43"/>
      <c r="P9" s="43"/>
      <c r="Q9" s="43"/>
      <c r="R9" s="43"/>
      <c r="S9" s="43"/>
      <c r="T9" s="43"/>
      <c r="U9" s="43"/>
      <c r="V9" s="43"/>
      <c r="W9" s="43"/>
      <c r="X9" s="43"/>
    </row>
    <row r="10" spans="1:32" x14ac:dyDescent="0.3">
      <c r="B10" s="43"/>
      <c r="C10" s="43"/>
      <c r="D10" s="43"/>
      <c r="E10" s="65"/>
      <c r="F10" s="65"/>
      <c r="G10" s="43"/>
      <c r="H10" s="43"/>
      <c r="I10" s="43"/>
      <c r="J10" s="67"/>
      <c r="K10" s="67"/>
      <c r="L10" s="67"/>
      <c r="M10" s="43"/>
      <c r="N10" s="43"/>
      <c r="O10" s="43"/>
      <c r="P10" s="43"/>
      <c r="Q10" s="43"/>
      <c r="R10" s="43"/>
      <c r="S10" s="43"/>
      <c r="T10" s="43"/>
      <c r="U10" s="43"/>
      <c r="V10" s="43"/>
      <c r="W10" s="43"/>
      <c r="X10" s="43"/>
    </row>
    <row r="11" spans="1:32" x14ac:dyDescent="0.3">
      <c r="B11" s="43"/>
      <c r="C11" s="43"/>
      <c r="D11" s="43"/>
      <c r="E11" s="65"/>
      <c r="F11" s="65"/>
      <c r="G11" s="43"/>
      <c r="H11" s="43"/>
      <c r="I11" s="43"/>
      <c r="J11" s="67"/>
      <c r="K11" s="67"/>
      <c r="L11" s="67"/>
      <c r="M11" s="43"/>
      <c r="N11" s="43"/>
      <c r="O11" s="43"/>
      <c r="P11" s="43"/>
      <c r="Q11" s="43"/>
      <c r="R11" s="43"/>
      <c r="S11" s="43"/>
      <c r="T11" s="43"/>
      <c r="U11" s="43"/>
      <c r="V11" s="43"/>
      <c r="W11" s="43"/>
      <c r="X11" s="43"/>
    </row>
    <row r="12" spans="1:32" x14ac:dyDescent="0.3">
      <c r="B12" s="43"/>
      <c r="C12" s="43"/>
      <c r="D12" s="43"/>
      <c r="E12" s="65"/>
      <c r="F12" s="65"/>
      <c r="G12" s="43"/>
      <c r="H12" s="43"/>
      <c r="I12" s="43"/>
      <c r="J12" s="67"/>
      <c r="K12" s="67"/>
      <c r="L12" s="67"/>
      <c r="M12" s="43"/>
      <c r="N12" s="43"/>
      <c r="O12" s="43"/>
      <c r="P12" s="43"/>
      <c r="Q12" s="43"/>
      <c r="R12" s="43"/>
      <c r="S12" s="43"/>
      <c r="T12" s="43"/>
      <c r="U12" s="43"/>
      <c r="V12" s="43"/>
      <c r="W12" s="43"/>
      <c r="X12" s="43"/>
    </row>
    <row r="13" spans="1:32" x14ac:dyDescent="0.3">
      <c r="B13" s="43"/>
      <c r="C13" s="43"/>
      <c r="D13" s="43"/>
      <c r="E13" s="65"/>
      <c r="F13" s="65"/>
      <c r="G13" s="43"/>
      <c r="H13" s="43"/>
      <c r="I13" s="43"/>
      <c r="J13" s="67"/>
      <c r="K13" s="67"/>
      <c r="L13" s="67"/>
      <c r="M13" s="43"/>
      <c r="N13" s="43"/>
      <c r="O13" s="43"/>
      <c r="P13" s="43"/>
      <c r="Q13" s="43"/>
      <c r="R13" s="43"/>
      <c r="S13" s="43"/>
      <c r="T13" s="43"/>
      <c r="U13" s="43"/>
      <c r="V13" s="43"/>
      <c r="W13" s="43"/>
      <c r="X13" s="43"/>
    </row>
    <row r="14" spans="1:32" s="46" customFormat="1" ht="18" x14ac:dyDescent="0.25">
      <c r="B14" s="232" t="s">
        <v>24</v>
      </c>
      <c r="C14" s="232"/>
      <c r="D14" s="232"/>
      <c r="E14" s="232"/>
      <c r="F14" s="232"/>
      <c r="G14" s="232"/>
      <c r="H14" s="232"/>
      <c r="I14" s="232"/>
      <c r="J14" s="68"/>
      <c r="K14" s="68"/>
      <c r="L14" s="68"/>
      <c r="M14" s="45"/>
      <c r="N14" s="45"/>
      <c r="O14" s="45"/>
      <c r="P14" s="45"/>
      <c r="Q14" s="45"/>
      <c r="R14" s="45"/>
      <c r="S14" s="45"/>
      <c r="T14" s="45"/>
      <c r="U14" s="45"/>
      <c r="V14" s="45"/>
      <c r="W14" s="45"/>
      <c r="X14" s="45"/>
      <c r="Y14" s="45"/>
      <c r="Z14" s="45"/>
      <c r="AA14" s="45"/>
      <c r="AB14" s="45"/>
      <c r="AC14" s="45"/>
      <c r="AD14" s="45"/>
      <c r="AE14" s="45"/>
      <c r="AF14" s="45"/>
    </row>
    <row r="15" spans="1:32" s="46" customFormat="1" ht="108.75" thickBot="1" x14ac:dyDescent="0.3">
      <c r="B15" s="71" t="s">
        <v>25</v>
      </c>
      <c r="C15" s="71" t="s">
        <v>6</v>
      </c>
      <c r="D15" s="72" t="s">
        <v>8</v>
      </c>
      <c r="E15" s="73" t="s">
        <v>26</v>
      </c>
      <c r="F15" s="73" t="s">
        <v>27</v>
      </c>
      <c r="G15" s="73" t="s">
        <v>28</v>
      </c>
      <c r="H15" s="74" t="s">
        <v>29</v>
      </c>
      <c r="I15" s="73" t="s">
        <v>30</v>
      </c>
      <c r="J15" s="68"/>
      <c r="K15" s="68"/>
      <c r="L15" s="68"/>
      <c r="M15" s="45"/>
      <c r="N15" s="45"/>
      <c r="O15" s="45"/>
      <c r="P15" s="45"/>
      <c r="Q15" s="45"/>
      <c r="R15" s="45"/>
      <c r="S15" s="45"/>
      <c r="T15" s="45"/>
      <c r="U15" s="45"/>
      <c r="V15" s="45"/>
      <c r="W15" s="45"/>
      <c r="X15" s="45"/>
      <c r="Y15" s="45"/>
      <c r="Z15" s="45"/>
      <c r="AA15" s="45"/>
      <c r="AB15" s="45"/>
      <c r="AC15" s="45"/>
      <c r="AD15" s="45"/>
      <c r="AE15" s="45"/>
      <c r="AF15" s="45"/>
    </row>
    <row r="16" spans="1:32" s="46" customFormat="1" ht="132" x14ac:dyDescent="0.25">
      <c r="A16" s="95" t="str">
        <f>1&amp;E16</f>
        <v>1a</v>
      </c>
      <c r="B16" s="243" t="s">
        <v>31</v>
      </c>
      <c r="C16" s="207" t="s">
        <v>32</v>
      </c>
      <c r="D16" s="240" t="s">
        <v>33</v>
      </c>
      <c r="E16" s="75" t="s">
        <v>34</v>
      </c>
      <c r="F16" s="76" t="s">
        <v>35</v>
      </c>
      <c r="G16" s="103" t="s">
        <v>39</v>
      </c>
      <c r="H16" s="104" t="s">
        <v>191</v>
      </c>
      <c r="I16" s="96" t="str">
        <f>+IF(G16="Si","Mantenimiento del control",IF(G16="En proceso","Oportunidad de mejora","Deficiencia de control"))</f>
        <v>Mantenimiento del control</v>
      </c>
      <c r="J16" s="97">
        <f t="shared" ref="J16:J27" si="0">+IF(G16="Si",20,IF(G16="En proceso",10,0))</f>
        <v>20</v>
      </c>
      <c r="K16" s="97">
        <v>0.123</v>
      </c>
      <c r="L16" s="97">
        <f>+J16+K16</f>
        <v>20.123000000000001</v>
      </c>
    </row>
    <row r="17" spans="1:32" s="46" customFormat="1" ht="63" x14ac:dyDescent="0.25">
      <c r="A17" s="95" t="str">
        <f t="shared" ref="A17:A27" si="1">1&amp;E17</f>
        <v>1b</v>
      </c>
      <c r="B17" s="244"/>
      <c r="C17" s="208"/>
      <c r="D17" s="241"/>
      <c r="E17" s="77" t="s">
        <v>37</v>
      </c>
      <c r="F17" s="78" t="s">
        <v>38</v>
      </c>
      <c r="G17" s="105" t="s">
        <v>39</v>
      </c>
      <c r="H17" s="106" t="s">
        <v>192</v>
      </c>
      <c r="I17" s="98" t="str">
        <f t="shared" ref="I17:I59" si="2">+IF(G17="Si","Mantenimiento del control",IF(G17="En proceso","Oportunidad de mejora","Deficiencia de control"))</f>
        <v>Mantenimiento del control</v>
      </c>
      <c r="J17" s="99">
        <f t="shared" si="0"/>
        <v>20</v>
      </c>
      <c r="K17" s="97">
        <v>0.1234</v>
      </c>
      <c r="L17" s="97">
        <f t="shared" ref="L17:L59" si="3">+J17+K17</f>
        <v>20.1234</v>
      </c>
    </row>
    <row r="18" spans="1:32" s="46" customFormat="1" ht="66" x14ac:dyDescent="0.25">
      <c r="A18" s="95" t="str">
        <f t="shared" si="1"/>
        <v>1c</v>
      </c>
      <c r="B18" s="244"/>
      <c r="C18" s="208"/>
      <c r="D18" s="241"/>
      <c r="E18" s="77" t="s">
        <v>40</v>
      </c>
      <c r="F18" s="79" t="s">
        <v>41</v>
      </c>
      <c r="G18" s="105" t="s">
        <v>39</v>
      </c>
      <c r="H18" s="107" t="s">
        <v>193</v>
      </c>
      <c r="I18" s="100" t="str">
        <f t="shared" si="2"/>
        <v>Mantenimiento del control</v>
      </c>
      <c r="J18" s="99">
        <f t="shared" si="0"/>
        <v>20</v>
      </c>
      <c r="K18" s="97">
        <v>0.12345</v>
      </c>
      <c r="L18" s="97">
        <f t="shared" si="3"/>
        <v>20.123449999999998</v>
      </c>
    </row>
    <row r="19" spans="1:32" s="46" customFormat="1" ht="49.5" x14ac:dyDescent="0.25">
      <c r="A19" s="95" t="str">
        <f t="shared" si="1"/>
        <v>1d</v>
      </c>
      <c r="B19" s="244"/>
      <c r="C19" s="208"/>
      <c r="D19" s="241"/>
      <c r="E19" s="77" t="s">
        <v>42</v>
      </c>
      <c r="F19" s="79" t="s">
        <v>43</v>
      </c>
      <c r="G19" s="105" t="s">
        <v>39</v>
      </c>
      <c r="H19" s="107" t="s">
        <v>194</v>
      </c>
      <c r="I19" s="100" t="str">
        <f t="shared" si="2"/>
        <v>Mantenimiento del control</v>
      </c>
      <c r="J19" s="99">
        <f t="shared" si="0"/>
        <v>20</v>
      </c>
      <c r="K19" s="97">
        <v>0.123456</v>
      </c>
      <c r="L19" s="97">
        <f t="shared" si="3"/>
        <v>20.123456000000001</v>
      </c>
    </row>
    <row r="20" spans="1:32" s="46" customFormat="1" ht="33" x14ac:dyDescent="0.25">
      <c r="A20" s="95" t="str">
        <f t="shared" si="1"/>
        <v>1e</v>
      </c>
      <c r="B20" s="244"/>
      <c r="C20" s="208"/>
      <c r="D20" s="241"/>
      <c r="E20" s="77" t="s">
        <v>44</v>
      </c>
      <c r="F20" s="79" t="s">
        <v>45</v>
      </c>
      <c r="G20" s="105" t="s">
        <v>39</v>
      </c>
      <c r="H20" s="107" t="s">
        <v>195</v>
      </c>
      <c r="I20" s="100" t="str">
        <f t="shared" si="2"/>
        <v>Mantenimiento del control</v>
      </c>
      <c r="J20" s="99">
        <f t="shared" si="0"/>
        <v>20</v>
      </c>
      <c r="K20" s="97">
        <v>0.12345678</v>
      </c>
      <c r="L20" s="97">
        <f t="shared" si="3"/>
        <v>20.123456780000001</v>
      </c>
    </row>
    <row r="21" spans="1:32" s="46" customFormat="1" ht="66" x14ac:dyDescent="0.25">
      <c r="A21" s="95" t="str">
        <f t="shared" si="1"/>
        <v>1f</v>
      </c>
      <c r="B21" s="244"/>
      <c r="C21" s="208"/>
      <c r="D21" s="241"/>
      <c r="E21" s="77" t="s">
        <v>46</v>
      </c>
      <c r="F21" s="79" t="s">
        <v>47</v>
      </c>
      <c r="G21" s="105" t="s">
        <v>39</v>
      </c>
      <c r="H21" s="107" t="s">
        <v>196</v>
      </c>
      <c r="I21" s="100" t="str">
        <f t="shared" si="2"/>
        <v>Mantenimiento del control</v>
      </c>
      <c r="J21" s="99">
        <f t="shared" si="0"/>
        <v>20</v>
      </c>
      <c r="K21" s="97">
        <v>0.123456789</v>
      </c>
      <c r="L21" s="97">
        <f t="shared" si="3"/>
        <v>20.123456788999999</v>
      </c>
    </row>
    <row r="22" spans="1:32" s="46" customFormat="1" ht="66" x14ac:dyDescent="0.25">
      <c r="A22" s="95" t="str">
        <f t="shared" si="1"/>
        <v>1g</v>
      </c>
      <c r="B22" s="244"/>
      <c r="C22" s="208"/>
      <c r="D22" s="241"/>
      <c r="E22" s="77" t="s">
        <v>48</v>
      </c>
      <c r="F22" s="79" t="s">
        <v>49</v>
      </c>
      <c r="G22" s="105" t="s">
        <v>39</v>
      </c>
      <c r="H22" s="107" t="s">
        <v>197</v>
      </c>
      <c r="I22" s="100" t="str">
        <f t="shared" si="2"/>
        <v>Mantenimiento del control</v>
      </c>
      <c r="J22" s="99">
        <f t="shared" si="0"/>
        <v>20</v>
      </c>
      <c r="K22" s="97">
        <v>0.12345678910000001</v>
      </c>
      <c r="L22" s="97">
        <f t="shared" si="3"/>
        <v>20.1234567891</v>
      </c>
    </row>
    <row r="23" spans="1:32" s="46" customFormat="1" ht="82.5" x14ac:dyDescent="0.25">
      <c r="A23" s="95" t="str">
        <f t="shared" si="1"/>
        <v>1h</v>
      </c>
      <c r="B23" s="244"/>
      <c r="C23" s="208"/>
      <c r="D23" s="241"/>
      <c r="E23" s="77" t="s">
        <v>50</v>
      </c>
      <c r="F23" s="79" t="s">
        <v>51</v>
      </c>
      <c r="G23" s="105" t="s">
        <v>39</v>
      </c>
      <c r="H23" s="107" t="s">
        <v>198</v>
      </c>
      <c r="I23" s="100" t="str">
        <f t="shared" si="2"/>
        <v>Mantenimiento del control</v>
      </c>
      <c r="J23" s="99">
        <f t="shared" si="0"/>
        <v>20</v>
      </c>
      <c r="K23" s="97">
        <v>0.12345678911999999</v>
      </c>
      <c r="L23" s="97">
        <f t="shared" si="3"/>
        <v>20.123456789119999</v>
      </c>
    </row>
    <row r="24" spans="1:32" s="46" customFormat="1" ht="66" x14ac:dyDescent="0.25">
      <c r="A24" s="95" t="str">
        <f t="shared" si="1"/>
        <v>1i</v>
      </c>
      <c r="B24" s="244"/>
      <c r="C24" s="208"/>
      <c r="D24" s="241"/>
      <c r="E24" s="77" t="s">
        <v>52</v>
      </c>
      <c r="F24" s="79" t="s">
        <v>53</v>
      </c>
      <c r="G24" s="105" t="s">
        <v>39</v>
      </c>
      <c r="H24" s="107" t="s">
        <v>199</v>
      </c>
      <c r="I24" s="100" t="str">
        <f t="shared" si="2"/>
        <v>Mantenimiento del control</v>
      </c>
      <c r="J24" s="99">
        <f t="shared" si="0"/>
        <v>20</v>
      </c>
      <c r="K24" s="97">
        <v>0.123456789123</v>
      </c>
      <c r="L24" s="97">
        <f t="shared" si="3"/>
        <v>20.123456789123001</v>
      </c>
    </row>
    <row r="25" spans="1:32" s="46" customFormat="1" ht="82.5" x14ac:dyDescent="0.25">
      <c r="A25" s="95" t="str">
        <f t="shared" si="1"/>
        <v>1j</v>
      </c>
      <c r="B25" s="244"/>
      <c r="C25" s="208"/>
      <c r="D25" s="241"/>
      <c r="E25" s="77" t="s">
        <v>54</v>
      </c>
      <c r="F25" s="79" t="s">
        <v>55</v>
      </c>
      <c r="G25" s="105" t="s">
        <v>39</v>
      </c>
      <c r="H25" s="107" t="s">
        <v>200</v>
      </c>
      <c r="I25" s="100" t="str">
        <f t="shared" si="2"/>
        <v>Mantenimiento del control</v>
      </c>
      <c r="J25" s="99">
        <f t="shared" si="0"/>
        <v>20</v>
      </c>
      <c r="K25" s="97">
        <v>0.1234567891234</v>
      </c>
      <c r="L25" s="97">
        <f t="shared" si="3"/>
        <v>20.123456789123399</v>
      </c>
    </row>
    <row r="26" spans="1:32" s="46" customFormat="1" ht="66" x14ac:dyDescent="0.25">
      <c r="A26" s="95" t="str">
        <f t="shared" si="1"/>
        <v>1k</v>
      </c>
      <c r="B26" s="244"/>
      <c r="C26" s="208"/>
      <c r="D26" s="241"/>
      <c r="E26" s="77" t="s">
        <v>56</v>
      </c>
      <c r="F26" s="79" t="s">
        <v>57</v>
      </c>
      <c r="G26" s="105" t="s">
        <v>76</v>
      </c>
      <c r="H26" s="107" t="s">
        <v>201</v>
      </c>
      <c r="I26" s="100" t="str">
        <f t="shared" si="2"/>
        <v>Oportunidad de mejora</v>
      </c>
      <c r="J26" s="99">
        <f t="shared" si="0"/>
        <v>10</v>
      </c>
      <c r="K26" s="97">
        <v>0.12345678912345</v>
      </c>
      <c r="L26" s="97">
        <f t="shared" si="3"/>
        <v>10.12345678912345</v>
      </c>
    </row>
    <row r="27" spans="1:32" s="46" customFormat="1" ht="66.75" thickBot="1" x14ac:dyDescent="0.3">
      <c r="A27" s="95" t="str">
        <f t="shared" si="1"/>
        <v>1l</v>
      </c>
      <c r="B27" s="245"/>
      <c r="C27" s="209"/>
      <c r="D27" s="242"/>
      <c r="E27" s="80" t="s">
        <v>58</v>
      </c>
      <c r="F27" s="81" t="s">
        <v>59</v>
      </c>
      <c r="G27" s="108" t="s">
        <v>39</v>
      </c>
      <c r="H27" s="109" t="s">
        <v>202</v>
      </c>
      <c r="I27" s="101" t="str">
        <f t="shared" si="2"/>
        <v>Mantenimiento del control</v>
      </c>
      <c r="J27" s="99">
        <f t="shared" si="0"/>
        <v>20</v>
      </c>
      <c r="K27" s="97">
        <v>0.12345678912345601</v>
      </c>
      <c r="L27" s="97">
        <f t="shared" si="3"/>
        <v>20.123456789123455</v>
      </c>
    </row>
    <row r="28" spans="1:32" s="46" customFormat="1" ht="115.5" x14ac:dyDescent="0.25">
      <c r="A28" s="95" t="str">
        <f>2&amp;E28</f>
        <v>2a</v>
      </c>
      <c r="B28" s="246" t="s">
        <v>60</v>
      </c>
      <c r="C28" s="210" t="s">
        <v>61</v>
      </c>
      <c r="D28" s="249" t="s">
        <v>62</v>
      </c>
      <c r="E28" s="75" t="s">
        <v>34</v>
      </c>
      <c r="F28" s="76" t="s">
        <v>63</v>
      </c>
      <c r="G28" s="103" t="s">
        <v>39</v>
      </c>
      <c r="H28" s="104" t="s">
        <v>203</v>
      </c>
      <c r="I28" s="96" t="str">
        <f t="shared" si="2"/>
        <v>Mantenimiento del control</v>
      </c>
      <c r="J28" s="97">
        <f>+IF(G28="Si",40,IF(G28="En proceso",30,20))</f>
        <v>40</v>
      </c>
      <c r="K28" s="97">
        <v>0.23</v>
      </c>
      <c r="L28" s="97">
        <f t="shared" si="3"/>
        <v>40.229999999999997</v>
      </c>
    </row>
    <row r="29" spans="1:32" s="46" customFormat="1" ht="132" x14ac:dyDescent="0.25">
      <c r="A29" s="95" t="str">
        <f t="shared" ref="A29:A31" si="4">2&amp;E29</f>
        <v>2b</v>
      </c>
      <c r="B29" s="247"/>
      <c r="C29" s="211"/>
      <c r="D29" s="225"/>
      <c r="E29" s="77" t="s">
        <v>37</v>
      </c>
      <c r="F29" s="79" t="s">
        <v>64</v>
      </c>
      <c r="G29" s="105" t="s">
        <v>39</v>
      </c>
      <c r="H29" s="107" t="s">
        <v>204</v>
      </c>
      <c r="I29" s="100" t="str">
        <f t="shared" si="2"/>
        <v>Mantenimiento del control</v>
      </c>
      <c r="J29" s="97">
        <f>+IF(G29="Si",40,IF(G29="En proceso",30,20))</f>
        <v>40</v>
      </c>
      <c r="K29" s="97">
        <v>0.23400000000000001</v>
      </c>
      <c r="L29" s="97">
        <f t="shared" si="3"/>
        <v>40.234000000000002</v>
      </c>
    </row>
    <row r="30" spans="1:32" s="46" customFormat="1" ht="82.5" x14ac:dyDescent="0.25">
      <c r="A30" s="95" t="str">
        <f t="shared" si="4"/>
        <v>2c</v>
      </c>
      <c r="B30" s="247"/>
      <c r="C30" s="211"/>
      <c r="D30" s="225"/>
      <c r="E30" s="77" t="s">
        <v>40</v>
      </c>
      <c r="F30" s="79" t="s">
        <v>65</v>
      </c>
      <c r="G30" s="105" t="s">
        <v>39</v>
      </c>
      <c r="H30" s="107" t="s">
        <v>206</v>
      </c>
      <c r="I30" s="100" t="str">
        <f t="shared" si="2"/>
        <v>Mantenimiento del control</v>
      </c>
      <c r="J30" s="97">
        <f>+IF(G30="Si",40,IF(G30="En proceso",30,20))</f>
        <v>40</v>
      </c>
      <c r="K30" s="97">
        <v>0.23449999999999999</v>
      </c>
      <c r="L30" s="97">
        <f t="shared" si="3"/>
        <v>40.234499999999997</v>
      </c>
    </row>
    <row r="31" spans="1:32" s="46" customFormat="1" ht="99.75" thickBot="1" x14ac:dyDescent="0.3">
      <c r="A31" s="95" t="str">
        <f t="shared" si="4"/>
        <v>2d</v>
      </c>
      <c r="B31" s="248"/>
      <c r="C31" s="212"/>
      <c r="D31" s="250"/>
      <c r="E31" s="80" t="s">
        <v>42</v>
      </c>
      <c r="F31" s="81" t="s">
        <v>66</v>
      </c>
      <c r="G31" s="108" t="s">
        <v>39</v>
      </c>
      <c r="H31" s="109" t="s">
        <v>205</v>
      </c>
      <c r="I31" s="101" t="str">
        <f t="shared" si="2"/>
        <v>Mantenimiento del control</v>
      </c>
      <c r="J31" s="97">
        <f>+IF(G31="Si",40,IF(G31="En proceso",30,20))</f>
        <v>40</v>
      </c>
      <c r="K31" s="97">
        <v>0.23455999999999999</v>
      </c>
      <c r="L31" s="97">
        <f t="shared" si="3"/>
        <v>40.234560000000002</v>
      </c>
    </row>
    <row r="32" spans="1:32" s="46" customFormat="1" ht="99" x14ac:dyDescent="0.25">
      <c r="A32" s="95" t="str">
        <f>3&amp;E32</f>
        <v>3a</v>
      </c>
      <c r="B32" s="222" t="s">
        <v>67</v>
      </c>
      <c r="C32" s="222" t="s">
        <v>61</v>
      </c>
      <c r="D32" s="223" t="s">
        <v>68</v>
      </c>
      <c r="E32" s="77" t="s">
        <v>34</v>
      </c>
      <c r="F32" s="79" t="s">
        <v>69</v>
      </c>
      <c r="G32" s="105" t="s">
        <v>39</v>
      </c>
      <c r="H32" s="107" t="s">
        <v>207</v>
      </c>
      <c r="I32" s="100" t="str">
        <f t="shared" si="2"/>
        <v>Mantenimiento del control</v>
      </c>
      <c r="J32" s="97">
        <f t="shared" ref="J32:J37" si="5">+IF(G32="Si",40,IF(G32="En proceso",30,20))</f>
        <v>40</v>
      </c>
      <c r="K32" s="102">
        <v>0.234567</v>
      </c>
      <c r="L32" s="97">
        <f t="shared" ref="L32:L37" si="6">+J32+K32</f>
        <v>40.234566999999998</v>
      </c>
      <c r="M32" s="45"/>
      <c r="N32" s="45"/>
      <c r="O32" s="45"/>
      <c r="P32" s="45"/>
      <c r="Q32" s="45"/>
      <c r="R32" s="45"/>
      <c r="S32" s="45"/>
      <c r="T32" s="45"/>
      <c r="U32" s="45"/>
      <c r="V32" s="45"/>
      <c r="W32" s="45"/>
      <c r="X32" s="45"/>
      <c r="Y32" s="45"/>
      <c r="Z32" s="45"/>
      <c r="AA32" s="45"/>
      <c r="AB32" s="45"/>
      <c r="AC32" s="45"/>
      <c r="AD32" s="45"/>
      <c r="AE32" s="45"/>
      <c r="AF32" s="45"/>
    </row>
    <row r="33" spans="1:32" s="46" customFormat="1" ht="82.5" x14ac:dyDescent="0.25">
      <c r="A33" s="95" t="str">
        <f t="shared" ref="A33:A34" si="7">3&amp;E33</f>
        <v>3b</v>
      </c>
      <c r="B33" s="222"/>
      <c r="C33" s="222"/>
      <c r="D33" s="223"/>
      <c r="E33" s="77" t="s">
        <v>37</v>
      </c>
      <c r="F33" s="79" t="s">
        <v>70</v>
      </c>
      <c r="G33" s="105" t="s">
        <v>39</v>
      </c>
      <c r="H33" s="107" t="s">
        <v>208</v>
      </c>
      <c r="I33" s="100" t="str">
        <f t="shared" si="2"/>
        <v>Mantenimiento del control</v>
      </c>
      <c r="J33" s="97">
        <f t="shared" si="5"/>
        <v>40</v>
      </c>
      <c r="K33" s="102">
        <v>0.23456779999999999</v>
      </c>
      <c r="L33" s="97">
        <f t="shared" si="6"/>
        <v>40.234567800000001</v>
      </c>
      <c r="M33" s="45"/>
      <c r="N33" s="45"/>
      <c r="O33" s="45"/>
      <c r="P33" s="45"/>
      <c r="Q33" s="45"/>
      <c r="R33" s="45"/>
      <c r="S33" s="45"/>
      <c r="T33" s="45"/>
      <c r="U33" s="45"/>
      <c r="V33" s="45"/>
      <c r="W33" s="45"/>
      <c r="X33" s="45"/>
      <c r="Y33" s="45"/>
      <c r="Z33" s="45"/>
      <c r="AA33" s="45"/>
      <c r="AB33" s="45"/>
      <c r="AC33" s="45"/>
      <c r="AD33" s="45"/>
      <c r="AE33" s="45"/>
      <c r="AF33" s="45"/>
    </row>
    <row r="34" spans="1:32" s="46" customFormat="1" ht="66.75" thickBot="1" x14ac:dyDescent="0.3">
      <c r="A34" s="95" t="str">
        <f t="shared" si="7"/>
        <v>3c</v>
      </c>
      <c r="B34" s="222"/>
      <c r="C34" s="222"/>
      <c r="D34" s="223"/>
      <c r="E34" s="77" t="s">
        <v>40</v>
      </c>
      <c r="F34" s="79" t="s">
        <v>71</v>
      </c>
      <c r="G34" s="105" t="s">
        <v>39</v>
      </c>
      <c r="H34" s="107" t="s">
        <v>209</v>
      </c>
      <c r="I34" s="100" t="str">
        <f t="shared" si="2"/>
        <v>Mantenimiento del control</v>
      </c>
      <c r="J34" s="97">
        <f t="shared" si="5"/>
        <v>40</v>
      </c>
      <c r="K34" s="102">
        <v>0.23456789</v>
      </c>
      <c r="L34" s="97">
        <f t="shared" si="6"/>
        <v>40.234567890000001</v>
      </c>
      <c r="M34" s="45"/>
      <c r="N34" s="45"/>
      <c r="O34" s="45"/>
      <c r="P34" s="45"/>
      <c r="Q34" s="45"/>
      <c r="R34" s="45"/>
      <c r="S34" s="45"/>
      <c r="T34" s="45"/>
      <c r="U34" s="45"/>
      <c r="V34" s="45"/>
      <c r="W34" s="45"/>
      <c r="X34" s="45"/>
      <c r="Y34" s="45"/>
      <c r="Z34" s="45"/>
      <c r="AA34" s="45"/>
      <c r="AB34" s="45"/>
      <c r="AC34" s="45"/>
      <c r="AD34" s="45"/>
      <c r="AE34" s="45"/>
      <c r="AF34" s="45"/>
    </row>
    <row r="35" spans="1:32" s="46" customFormat="1" ht="49.5" x14ac:dyDescent="0.25">
      <c r="A35" s="95" t="str">
        <f>4&amp;E35</f>
        <v>4a</v>
      </c>
      <c r="B35" s="224" t="s">
        <v>72</v>
      </c>
      <c r="C35" s="211" t="s">
        <v>61</v>
      </c>
      <c r="D35" s="225" t="s">
        <v>73</v>
      </c>
      <c r="E35" s="75" t="s">
        <v>34</v>
      </c>
      <c r="F35" s="76" t="s">
        <v>74</v>
      </c>
      <c r="G35" s="103" t="s">
        <v>39</v>
      </c>
      <c r="H35" s="104" t="s">
        <v>210</v>
      </c>
      <c r="I35" s="96" t="str">
        <f t="shared" si="2"/>
        <v>Mantenimiento del control</v>
      </c>
      <c r="J35" s="97">
        <f t="shared" si="5"/>
        <v>40</v>
      </c>
      <c r="K35" s="102">
        <v>0.23456789119999999</v>
      </c>
      <c r="L35" s="97">
        <f t="shared" si="6"/>
        <v>40.234567891200001</v>
      </c>
      <c r="M35" s="45"/>
      <c r="N35" s="45"/>
      <c r="O35" s="45"/>
      <c r="P35" s="45"/>
      <c r="Q35" s="45"/>
    </row>
    <row r="36" spans="1:32" s="46" customFormat="1" ht="66" x14ac:dyDescent="0.25">
      <c r="A36" s="95" t="str">
        <f t="shared" ref="A36:A37" si="8">4&amp;E36</f>
        <v>4b</v>
      </c>
      <c r="B36" s="224"/>
      <c r="C36" s="211"/>
      <c r="D36" s="225"/>
      <c r="E36" s="77" t="s">
        <v>37</v>
      </c>
      <c r="F36" s="79" t="s">
        <v>75</v>
      </c>
      <c r="G36" s="105" t="s">
        <v>39</v>
      </c>
      <c r="H36" s="107" t="s">
        <v>211</v>
      </c>
      <c r="I36" s="100" t="str">
        <f t="shared" si="2"/>
        <v>Mantenimiento del control</v>
      </c>
      <c r="J36" s="97">
        <f t="shared" si="5"/>
        <v>40</v>
      </c>
      <c r="K36" s="102">
        <v>0.23456789122999999</v>
      </c>
      <c r="L36" s="97">
        <f t="shared" si="6"/>
        <v>40.23456789123</v>
      </c>
      <c r="M36" s="45"/>
      <c r="N36" s="45"/>
      <c r="O36" s="45"/>
      <c r="P36" s="45"/>
      <c r="Q36" s="45"/>
    </row>
    <row r="37" spans="1:32" s="46" customFormat="1" ht="83.25" thickBot="1" x14ac:dyDescent="0.3">
      <c r="A37" s="95" t="str">
        <f t="shared" si="8"/>
        <v>4c</v>
      </c>
      <c r="B37" s="224"/>
      <c r="C37" s="211"/>
      <c r="D37" s="225"/>
      <c r="E37" s="77" t="s">
        <v>40</v>
      </c>
      <c r="F37" s="79" t="s">
        <v>77</v>
      </c>
      <c r="G37" s="105" t="s">
        <v>39</v>
      </c>
      <c r="H37" s="107" t="s">
        <v>212</v>
      </c>
      <c r="I37" s="100" t="str">
        <f t="shared" si="2"/>
        <v>Mantenimiento del control</v>
      </c>
      <c r="J37" s="97">
        <f t="shared" si="5"/>
        <v>40</v>
      </c>
      <c r="K37" s="102">
        <v>0.23456789123399999</v>
      </c>
      <c r="L37" s="97">
        <f t="shared" si="6"/>
        <v>40.234567891234001</v>
      </c>
      <c r="M37" s="45"/>
      <c r="N37" s="45"/>
      <c r="O37" s="45"/>
      <c r="P37" s="45"/>
      <c r="Q37" s="45"/>
    </row>
    <row r="38" spans="1:32" s="46" customFormat="1" ht="99" x14ac:dyDescent="0.25">
      <c r="A38" s="95" t="str">
        <f>5&amp;E38</f>
        <v>5a</v>
      </c>
      <c r="B38" s="226" t="s">
        <v>78</v>
      </c>
      <c r="C38" s="213" t="s">
        <v>79</v>
      </c>
      <c r="D38" s="229" t="s">
        <v>80</v>
      </c>
      <c r="E38" s="75" t="s">
        <v>34</v>
      </c>
      <c r="F38" s="76" t="s">
        <v>81</v>
      </c>
      <c r="G38" s="103" t="s">
        <v>39</v>
      </c>
      <c r="H38" s="104" t="s">
        <v>213</v>
      </c>
      <c r="I38" s="96" t="str">
        <f t="shared" si="2"/>
        <v>Mantenimiento del control</v>
      </c>
      <c r="J38" s="97">
        <f>+IF(G38="Si",60,IF(G38="En proceso",50,40))</f>
        <v>60</v>
      </c>
      <c r="K38" s="97">
        <v>0.31</v>
      </c>
      <c r="L38" s="97">
        <f t="shared" si="3"/>
        <v>60.31</v>
      </c>
    </row>
    <row r="39" spans="1:32" s="46" customFormat="1" ht="66" x14ac:dyDescent="0.25">
      <c r="A39" s="95" t="str">
        <f t="shared" ref="A39:A42" si="9">5&amp;E39</f>
        <v>5b</v>
      </c>
      <c r="B39" s="227"/>
      <c r="C39" s="214"/>
      <c r="D39" s="230"/>
      <c r="E39" s="77" t="s">
        <v>37</v>
      </c>
      <c r="F39" s="79" t="s">
        <v>82</v>
      </c>
      <c r="G39" s="105" t="s">
        <v>39</v>
      </c>
      <c r="H39" s="107" t="s">
        <v>214</v>
      </c>
      <c r="I39" s="100" t="str">
        <f t="shared" si="2"/>
        <v>Mantenimiento del control</v>
      </c>
      <c r="J39" s="97">
        <f>+IF(G39="Si",60,IF(G39="En proceso",50,40))</f>
        <v>60</v>
      </c>
      <c r="K39" s="97">
        <v>0.32300000000000001</v>
      </c>
      <c r="L39" s="97">
        <f t="shared" si="3"/>
        <v>60.323</v>
      </c>
    </row>
    <row r="40" spans="1:32" s="46" customFormat="1" ht="66" x14ac:dyDescent="0.25">
      <c r="A40" s="95" t="str">
        <f t="shared" si="9"/>
        <v>5c</v>
      </c>
      <c r="B40" s="227"/>
      <c r="C40" s="214"/>
      <c r="D40" s="230"/>
      <c r="E40" s="77" t="s">
        <v>40</v>
      </c>
      <c r="F40" s="79" t="s">
        <v>83</v>
      </c>
      <c r="G40" s="105" t="s">
        <v>39</v>
      </c>
      <c r="H40" s="107" t="s">
        <v>216</v>
      </c>
      <c r="I40" s="100" t="str">
        <f t="shared" si="2"/>
        <v>Mantenimiento del control</v>
      </c>
      <c r="J40" s="97">
        <f>+IF(G40="Si",60,IF(G40="En proceso",50,40))</f>
        <v>60</v>
      </c>
      <c r="K40" s="97">
        <v>0.32400000000000001</v>
      </c>
      <c r="L40" s="97">
        <f t="shared" si="3"/>
        <v>60.323999999999998</v>
      </c>
    </row>
    <row r="41" spans="1:32" s="46" customFormat="1" ht="94.5" x14ac:dyDescent="0.25">
      <c r="A41" s="95" t="str">
        <f t="shared" si="9"/>
        <v>5d</v>
      </c>
      <c r="B41" s="227"/>
      <c r="C41" s="214"/>
      <c r="D41" s="230"/>
      <c r="E41" s="77" t="s">
        <v>42</v>
      </c>
      <c r="F41" s="79" t="s">
        <v>84</v>
      </c>
      <c r="G41" s="105" t="s">
        <v>39</v>
      </c>
      <c r="H41" s="107" t="s">
        <v>215</v>
      </c>
      <c r="I41" s="100" t="str">
        <f t="shared" si="2"/>
        <v>Mantenimiento del control</v>
      </c>
      <c r="J41" s="97">
        <f>+IF(G41="Si",60,IF(G41="En proceso",50,40))</f>
        <v>60</v>
      </c>
      <c r="K41" s="97">
        <v>0.32500000000000001</v>
      </c>
      <c r="L41" s="97">
        <f t="shared" si="3"/>
        <v>60.325000000000003</v>
      </c>
    </row>
    <row r="42" spans="1:32" s="46" customFormat="1" ht="66.75" thickBot="1" x14ac:dyDescent="0.3">
      <c r="A42" s="95" t="str">
        <f t="shared" si="9"/>
        <v>5e</v>
      </c>
      <c r="B42" s="228"/>
      <c r="C42" s="215"/>
      <c r="D42" s="231"/>
      <c r="E42" s="80" t="s">
        <v>44</v>
      </c>
      <c r="F42" s="81" t="s">
        <v>85</v>
      </c>
      <c r="G42" s="108" t="s">
        <v>39</v>
      </c>
      <c r="H42" s="109" t="s">
        <v>217</v>
      </c>
      <c r="I42" s="101" t="str">
        <f t="shared" si="2"/>
        <v>Mantenimiento del control</v>
      </c>
      <c r="J42" s="97">
        <f>+IF(G42="Si",60,IF(G42="En proceso",50,40))</f>
        <v>60</v>
      </c>
      <c r="K42" s="97">
        <v>0.32600000000000001</v>
      </c>
      <c r="L42" s="97">
        <f t="shared" si="3"/>
        <v>60.326000000000001</v>
      </c>
    </row>
    <row r="43" spans="1:32" s="46" customFormat="1" ht="115.5" x14ac:dyDescent="0.25">
      <c r="A43" s="95" t="str">
        <f>6&amp;E43</f>
        <v>6a</v>
      </c>
      <c r="B43" s="236" t="s">
        <v>86</v>
      </c>
      <c r="C43" s="216" t="s">
        <v>87</v>
      </c>
      <c r="D43" s="233" t="s">
        <v>88</v>
      </c>
      <c r="E43" s="75" t="s">
        <v>34</v>
      </c>
      <c r="F43" s="76" t="s">
        <v>89</v>
      </c>
      <c r="G43" s="103" t="s">
        <v>39</v>
      </c>
      <c r="H43" s="104" t="s">
        <v>218</v>
      </c>
      <c r="I43" s="96" t="str">
        <f t="shared" si="2"/>
        <v>Mantenimiento del control</v>
      </c>
      <c r="J43" s="97">
        <f t="shared" ref="J43:J49" si="10">+IF(G43="Si",80,IF(G43="En proceso",70,60))</f>
        <v>80</v>
      </c>
      <c r="K43" s="97">
        <v>0.41199999999999998</v>
      </c>
      <c r="L43" s="97">
        <f t="shared" si="3"/>
        <v>80.412000000000006</v>
      </c>
    </row>
    <row r="44" spans="1:32" s="46" customFormat="1" ht="82.5" x14ac:dyDescent="0.25">
      <c r="A44" s="95" t="str">
        <f t="shared" ref="A44:A49" si="11">6&amp;E44</f>
        <v>6b</v>
      </c>
      <c r="B44" s="237"/>
      <c r="C44" s="217"/>
      <c r="D44" s="234"/>
      <c r="E44" s="77" t="s">
        <v>37</v>
      </c>
      <c r="F44" s="79" t="s">
        <v>90</v>
      </c>
      <c r="G44" s="105" t="s">
        <v>39</v>
      </c>
      <c r="H44" s="107" t="s">
        <v>219</v>
      </c>
      <c r="I44" s="100" t="str">
        <f t="shared" si="2"/>
        <v>Mantenimiento del control</v>
      </c>
      <c r="J44" s="97">
        <f t="shared" si="10"/>
        <v>80</v>
      </c>
      <c r="K44" s="97">
        <v>0.4123</v>
      </c>
      <c r="L44" s="97">
        <f t="shared" si="3"/>
        <v>80.412300000000002</v>
      </c>
    </row>
    <row r="45" spans="1:32" s="46" customFormat="1" ht="49.5" x14ac:dyDescent="0.25">
      <c r="A45" s="95" t="str">
        <f t="shared" si="11"/>
        <v>6c</v>
      </c>
      <c r="B45" s="237"/>
      <c r="C45" s="217"/>
      <c r="D45" s="234"/>
      <c r="E45" s="77" t="s">
        <v>40</v>
      </c>
      <c r="F45" s="79" t="s">
        <v>91</v>
      </c>
      <c r="G45" s="105" t="s">
        <v>39</v>
      </c>
      <c r="H45" s="107" t="s">
        <v>220</v>
      </c>
      <c r="I45" s="100" t="str">
        <f t="shared" si="2"/>
        <v>Mantenimiento del control</v>
      </c>
      <c r="J45" s="97">
        <f t="shared" si="10"/>
        <v>80</v>
      </c>
      <c r="K45" s="97">
        <v>0.41233999999999998</v>
      </c>
      <c r="L45" s="97">
        <f t="shared" si="3"/>
        <v>80.41234</v>
      </c>
    </row>
    <row r="46" spans="1:32" s="46" customFormat="1" ht="115.5" x14ac:dyDescent="0.25">
      <c r="A46" s="95" t="str">
        <f t="shared" si="11"/>
        <v>6d</v>
      </c>
      <c r="B46" s="237"/>
      <c r="C46" s="217"/>
      <c r="D46" s="234"/>
      <c r="E46" s="77" t="s">
        <v>42</v>
      </c>
      <c r="F46" s="79" t="s">
        <v>92</v>
      </c>
      <c r="G46" s="105" t="s">
        <v>39</v>
      </c>
      <c r="H46" s="107" t="s">
        <v>221</v>
      </c>
      <c r="I46" s="100" t="str">
        <f t="shared" si="2"/>
        <v>Mantenimiento del control</v>
      </c>
      <c r="J46" s="97">
        <f t="shared" si="10"/>
        <v>80</v>
      </c>
      <c r="K46" s="97">
        <v>0.41234500000000002</v>
      </c>
      <c r="L46" s="97">
        <f t="shared" si="3"/>
        <v>80.412345000000002</v>
      </c>
    </row>
    <row r="47" spans="1:32" s="46" customFormat="1" ht="66" x14ac:dyDescent="0.25">
      <c r="A47" s="95" t="str">
        <f t="shared" si="11"/>
        <v>6e</v>
      </c>
      <c r="B47" s="237"/>
      <c r="C47" s="217"/>
      <c r="D47" s="234"/>
      <c r="E47" s="77" t="s">
        <v>44</v>
      </c>
      <c r="F47" s="79" t="s">
        <v>93</v>
      </c>
      <c r="G47" s="105" t="s">
        <v>39</v>
      </c>
      <c r="H47" s="107" t="s">
        <v>222</v>
      </c>
      <c r="I47" s="100" t="str">
        <f t="shared" si="2"/>
        <v>Mantenimiento del control</v>
      </c>
      <c r="J47" s="97">
        <f t="shared" si="10"/>
        <v>80</v>
      </c>
      <c r="K47" s="97">
        <v>0.41234559999999998</v>
      </c>
      <c r="L47" s="97">
        <f t="shared" si="3"/>
        <v>80.412345599999995</v>
      </c>
    </row>
    <row r="48" spans="1:32" s="46" customFormat="1" ht="99" x14ac:dyDescent="0.25">
      <c r="A48" s="95" t="str">
        <f t="shared" si="11"/>
        <v>6f</v>
      </c>
      <c r="B48" s="237"/>
      <c r="C48" s="217"/>
      <c r="D48" s="234"/>
      <c r="E48" s="77" t="s">
        <v>46</v>
      </c>
      <c r="F48" s="79" t="s">
        <v>94</v>
      </c>
      <c r="G48" s="105" t="s">
        <v>39</v>
      </c>
      <c r="H48" s="107" t="s">
        <v>223</v>
      </c>
      <c r="I48" s="100" t="str">
        <f t="shared" si="2"/>
        <v>Mantenimiento del control</v>
      </c>
      <c r="J48" s="97">
        <f t="shared" si="10"/>
        <v>80</v>
      </c>
      <c r="K48" s="97">
        <v>0.41234567</v>
      </c>
      <c r="L48" s="97">
        <f t="shared" si="3"/>
        <v>80.412345669999993</v>
      </c>
    </row>
    <row r="49" spans="1:17" s="46" customFormat="1" ht="48" thickBot="1" x14ac:dyDescent="0.3">
      <c r="A49" s="95" t="str">
        <f t="shared" si="11"/>
        <v>6g</v>
      </c>
      <c r="B49" s="238"/>
      <c r="C49" s="218"/>
      <c r="D49" s="235"/>
      <c r="E49" s="80" t="s">
        <v>48</v>
      </c>
      <c r="F49" s="81" t="s">
        <v>95</v>
      </c>
      <c r="G49" s="108" t="s">
        <v>39</v>
      </c>
      <c r="H49" s="109" t="s">
        <v>224</v>
      </c>
      <c r="I49" s="101" t="str">
        <f t="shared" si="2"/>
        <v>Mantenimiento del control</v>
      </c>
      <c r="J49" s="97">
        <f t="shared" si="10"/>
        <v>80</v>
      </c>
      <c r="K49" s="97">
        <v>0.41234567799999999</v>
      </c>
      <c r="L49" s="97">
        <f t="shared" si="3"/>
        <v>80.412345677999994</v>
      </c>
    </row>
    <row r="50" spans="1:17" s="46" customFormat="1" ht="47.25" x14ac:dyDescent="0.25">
      <c r="A50" s="95" t="str">
        <f>7&amp;E50</f>
        <v>7a</v>
      </c>
      <c r="B50" s="204" t="s">
        <v>96</v>
      </c>
      <c r="C50" s="219" t="s">
        <v>97</v>
      </c>
      <c r="D50" s="201" t="s">
        <v>98</v>
      </c>
      <c r="E50" s="75" t="s">
        <v>34</v>
      </c>
      <c r="F50" s="76" t="s">
        <v>99</v>
      </c>
      <c r="G50" s="103" t="s">
        <v>39</v>
      </c>
      <c r="H50" s="104" t="s">
        <v>225</v>
      </c>
      <c r="I50" s="96" t="str">
        <f t="shared" si="2"/>
        <v>Mantenimiento del control</v>
      </c>
      <c r="J50" s="97">
        <f>+IF(G50="Si",120,IF(G50="En proceso",100,80))</f>
        <v>120</v>
      </c>
      <c r="K50" s="97">
        <v>0.85099999999999998</v>
      </c>
      <c r="L50" s="97">
        <f t="shared" si="3"/>
        <v>120.851</v>
      </c>
    </row>
    <row r="51" spans="1:17" s="46" customFormat="1" ht="94.5" x14ac:dyDescent="0.25">
      <c r="A51" s="95" t="str">
        <f t="shared" ref="A51:A53" si="12">7&amp;E51</f>
        <v>7d</v>
      </c>
      <c r="B51" s="205"/>
      <c r="C51" s="220"/>
      <c r="D51" s="202"/>
      <c r="E51" s="77" t="s">
        <v>42</v>
      </c>
      <c r="F51" s="79" t="s">
        <v>100</v>
      </c>
      <c r="G51" s="105" t="s">
        <v>36</v>
      </c>
      <c r="H51" s="107" t="s">
        <v>226</v>
      </c>
      <c r="I51" s="100" t="str">
        <f t="shared" si="2"/>
        <v>Deficiencia de control</v>
      </c>
      <c r="J51" s="97">
        <f t="shared" ref="J51:J59" si="13">+IF(G51="Si",120,IF(G51="En proceso",100,80))</f>
        <v>80</v>
      </c>
      <c r="K51" s="97">
        <v>0.85119999999999996</v>
      </c>
      <c r="L51" s="97">
        <f t="shared" si="3"/>
        <v>80.851200000000006</v>
      </c>
    </row>
    <row r="52" spans="1:17" s="46" customFormat="1" ht="49.5" x14ac:dyDescent="0.25">
      <c r="A52" s="95" t="str">
        <f t="shared" si="12"/>
        <v>7f</v>
      </c>
      <c r="B52" s="205"/>
      <c r="C52" s="220"/>
      <c r="D52" s="202"/>
      <c r="E52" s="77" t="s">
        <v>46</v>
      </c>
      <c r="F52" s="79" t="s">
        <v>101</v>
      </c>
      <c r="G52" s="105" t="s">
        <v>39</v>
      </c>
      <c r="H52" s="107" t="s">
        <v>227</v>
      </c>
      <c r="I52" s="100" t="str">
        <f t="shared" si="2"/>
        <v>Mantenimiento del control</v>
      </c>
      <c r="J52" s="97">
        <f t="shared" si="13"/>
        <v>120</v>
      </c>
      <c r="K52" s="97">
        <v>0.85123000000000004</v>
      </c>
      <c r="L52" s="97">
        <f t="shared" si="3"/>
        <v>120.85123</v>
      </c>
    </row>
    <row r="53" spans="1:17" s="46" customFormat="1" ht="50.25" thickBot="1" x14ac:dyDescent="0.3">
      <c r="A53" s="95" t="str">
        <f t="shared" si="12"/>
        <v>7g</v>
      </c>
      <c r="B53" s="206"/>
      <c r="C53" s="221"/>
      <c r="D53" s="239"/>
      <c r="E53" s="80" t="s">
        <v>48</v>
      </c>
      <c r="F53" s="81" t="s">
        <v>102</v>
      </c>
      <c r="G53" s="108" t="s">
        <v>39</v>
      </c>
      <c r="H53" s="109" t="s">
        <v>228</v>
      </c>
      <c r="I53" s="101" t="str">
        <f t="shared" si="2"/>
        <v>Mantenimiento del control</v>
      </c>
      <c r="J53" s="97">
        <f t="shared" si="13"/>
        <v>120</v>
      </c>
      <c r="K53" s="97">
        <v>0.85123400000000005</v>
      </c>
      <c r="L53" s="97">
        <f t="shared" si="3"/>
        <v>120.85123400000001</v>
      </c>
    </row>
    <row r="54" spans="1:17" s="46" customFormat="1" ht="95.25" thickBot="1" x14ac:dyDescent="0.3">
      <c r="A54" s="95" t="str">
        <f>8&amp;E54</f>
        <v>8h</v>
      </c>
      <c r="B54" s="150" t="s">
        <v>103</v>
      </c>
      <c r="C54" s="151" t="s">
        <v>97</v>
      </c>
      <c r="D54" s="70" t="s">
        <v>104</v>
      </c>
      <c r="E54" s="75" t="s">
        <v>50</v>
      </c>
      <c r="F54" s="76" t="s">
        <v>105</v>
      </c>
      <c r="G54" s="103" t="s">
        <v>39</v>
      </c>
      <c r="H54" s="104" t="s">
        <v>229</v>
      </c>
      <c r="I54" s="96" t="str">
        <f t="shared" si="2"/>
        <v>Mantenimiento del control</v>
      </c>
      <c r="J54" s="97">
        <f t="shared" si="13"/>
        <v>120</v>
      </c>
      <c r="K54" s="97">
        <v>0.85123450000000001</v>
      </c>
      <c r="L54" s="97">
        <f t="shared" si="3"/>
        <v>120.8512345</v>
      </c>
    </row>
    <row r="55" spans="1:17" s="46" customFormat="1" ht="66" x14ac:dyDescent="0.25">
      <c r="A55" s="95" t="str">
        <f>9&amp;E55</f>
        <v>9a</v>
      </c>
      <c r="B55" s="204" t="s">
        <v>106</v>
      </c>
      <c r="C55" s="219" t="s">
        <v>97</v>
      </c>
      <c r="D55" s="201" t="s">
        <v>107</v>
      </c>
      <c r="E55" s="75" t="s">
        <v>34</v>
      </c>
      <c r="F55" s="76" t="s">
        <v>108</v>
      </c>
      <c r="G55" s="103" t="s">
        <v>39</v>
      </c>
      <c r="H55" s="104" t="s">
        <v>230</v>
      </c>
      <c r="I55" s="96" t="str">
        <f t="shared" si="2"/>
        <v>Mantenimiento del control</v>
      </c>
      <c r="J55" s="97">
        <f t="shared" si="13"/>
        <v>120</v>
      </c>
      <c r="K55" s="102">
        <v>0.85123455999999997</v>
      </c>
      <c r="L55" s="97">
        <f t="shared" si="3"/>
        <v>120.85123455999999</v>
      </c>
      <c r="M55" s="45"/>
      <c r="N55" s="45"/>
      <c r="O55" s="45"/>
      <c r="P55" s="45"/>
      <c r="Q55" s="45"/>
    </row>
    <row r="56" spans="1:17" s="46" customFormat="1" ht="99" x14ac:dyDescent="0.25">
      <c r="A56" s="95" t="str">
        <f t="shared" ref="A56:A59" si="14">9&amp;E56</f>
        <v>9b</v>
      </c>
      <c r="B56" s="205"/>
      <c r="C56" s="220"/>
      <c r="D56" s="202"/>
      <c r="E56" s="77" t="s">
        <v>37</v>
      </c>
      <c r="F56" s="79" t="s">
        <v>109</v>
      </c>
      <c r="G56" s="105" t="s">
        <v>39</v>
      </c>
      <c r="H56" s="107" t="s">
        <v>231</v>
      </c>
      <c r="I56" s="100" t="str">
        <f t="shared" si="2"/>
        <v>Mantenimiento del control</v>
      </c>
      <c r="J56" s="97">
        <f t="shared" si="13"/>
        <v>120</v>
      </c>
      <c r="K56" s="102">
        <v>0.851234567</v>
      </c>
      <c r="L56" s="97">
        <f t="shared" si="3"/>
        <v>120.85123456700001</v>
      </c>
      <c r="M56" s="45"/>
      <c r="N56" s="45"/>
      <c r="O56" s="45"/>
      <c r="P56" s="45"/>
      <c r="Q56" s="45"/>
    </row>
    <row r="57" spans="1:17" s="46" customFormat="1" ht="99" x14ac:dyDescent="0.25">
      <c r="A57" s="95" t="str">
        <f t="shared" si="14"/>
        <v>9c</v>
      </c>
      <c r="B57" s="205"/>
      <c r="C57" s="220"/>
      <c r="D57" s="202"/>
      <c r="E57" s="77" t="s">
        <v>40</v>
      </c>
      <c r="F57" s="79" t="s">
        <v>110</v>
      </c>
      <c r="G57" s="105" t="s">
        <v>39</v>
      </c>
      <c r="H57" s="107" t="s">
        <v>232</v>
      </c>
      <c r="I57" s="100" t="str">
        <f t="shared" si="2"/>
        <v>Mantenimiento del control</v>
      </c>
      <c r="J57" s="97">
        <f t="shared" si="13"/>
        <v>120</v>
      </c>
      <c r="K57" s="102">
        <v>0.85123456779999995</v>
      </c>
      <c r="L57" s="97">
        <f t="shared" si="3"/>
        <v>120.85123456780001</v>
      </c>
      <c r="M57" s="45"/>
      <c r="N57" s="45"/>
      <c r="O57" s="45"/>
      <c r="P57" s="45"/>
      <c r="Q57" s="45"/>
    </row>
    <row r="58" spans="1:17" s="46" customFormat="1" ht="66" x14ac:dyDescent="0.25">
      <c r="A58" s="95" t="str">
        <f t="shared" si="14"/>
        <v>9d</v>
      </c>
      <c r="B58" s="205"/>
      <c r="C58" s="220"/>
      <c r="D58" s="202"/>
      <c r="E58" s="77" t="s">
        <v>42</v>
      </c>
      <c r="F58" s="79" t="s">
        <v>111</v>
      </c>
      <c r="G58" s="105" t="s">
        <v>39</v>
      </c>
      <c r="H58" s="107" t="s">
        <v>233</v>
      </c>
      <c r="I58" s="100" t="str">
        <f t="shared" si="2"/>
        <v>Mantenimiento del control</v>
      </c>
      <c r="J58" s="97">
        <f t="shared" si="13"/>
        <v>120</v>
      </c>
      <c r="K58" s="102">
        <v>0.85123456788999996</v>
      </c>
      <c r="L58" s="97">
        <f t="shared" si="3"/>
        <v>120.85123456789</v>
      </c>
      <c r="M58" s="45"/>
      <c r="N58" s="45"/>
      <c r="O58" s="45"/>
      <c r="P58" s="45"/>
      <c r="Q58" s="45"/>
    </row>
    <row r="59" spans="1:17" s="46" customFormat="1" ht="116.25" thickBot="1" x14ac:dyDescent="0.3">
      <c r="A59" s="95" t="str">
        <f t="shared" si="14"/>
        <v>9e</v>
      </c>
      <c r="B59" s="206"/>
      <c r="C59" s="220"/>
      <c r="D59" s="203"/>
      <c r="E59" s="80" t="s">
        <v>44</v>
      </c>
      <c r="F59" s="81" t="s">
        <v>112</v>
      </c>
      <c r="G59" s="108" t="s">
        <v>39</v>
      </c>
      <c r="H59" s="109" t="s">
        <v>234</v>
      </c>
      <c r="I59" s="101" t="str">
        <f t="shared" si="2"/>
        <v>Mantenimiento del control</v>
      </c>
      <c r="J59" s="97">
        <f t="shared" si="13"/>
        <v>120</v>
      </c>
      <c r="K59" s="102">
        <v>0.85123456789100005</v>
      </c>
      <c r="L59" s="97">
        <f t="shared" si="3"/>
        <v>120.851234567891</v>
      </c>
      <c r="M59" s="45"/>
      <c r="N59" s="45"/>
      <c r="O59" s="45"/>
      <c r="P59" s="45"/>
      <c r="Q59" s="45"/>
    </row>
  </sheetData>
  <sheetProtection algorithmName="SHA-512" hashValue="3f8q67IhQ+195mCCu45JxrnKZ5NQYpYn/4DMJ1qNlLoW+1h5DdlwjNz0RDsqicEeH5OxPhf5j92R5BAeBl6Iaw==" saltValue="5vY6GrPfNxnRatmVvJafnA==" spinCount="100000" sheet="1" objects="1" scenarios="1" formatCells="0" formatColumns="0" formatRows="0"/>
  <mergeCells count="25">
    <mergeCell ref="B14:I14"/>
    <mergeCell ref="D43:D49"/>
    <mergeCell ref="B43:B49"/>
    <mergeCell ref="D50:D53"/>
    <mergeCell ref="B50:B53"/>
    <mergeCell ref="D16:D27"/>
    <mergeCell ref="B16:B27"/>
    <mergeCell ref="B28:B31"/>
    <mergeCell ref="D28:D31"/>
    <mergeCell ref="D55:D59"/>
    <mergeCell ref="B55:B59"/>
    <mergeCell ref="C16:C27"/>
    <mergeCell ref="C28:C31"/>
    <mergeCell ref="C38:C42"/>
    <mergeCell ref="C43:C49"/>
    <mergeCell ref="C50:C53"/>
    <mergeCell ref="C32:C34"/>
    <mergeCell ref="C35:C37"/>
    <mergeCell ref="C55:C59"/>
    <mergeCell ref="D32:D34"/>
    <mergeCell ref="B32:B34"/>
    <mergeCell ref="B35:B37"/>
    <mergeCell ref="D35:D37"/>
    <mergeCell ref="B38:B42"/>
    <mergeCell ref="D38:D42"/>
  </mergeCells>
  <dataValidations count="2">
    <dataValidation type="list" allowBlank="1" showInputMessage="1" showErrorMessage="1" sqref="G55:G59 G16:G53" xr:uid="{00000000-0002-0000-0100-000000000000}">
      <formula1>"Si, No, En proceso"</formula1>
    </dataValidation>
    <dataValidation type="list" allowBlank="1" showInputMessage="1" showErrorMessage="1" sqref="G54" xr:uid="{00000000-0002-0000-0100-000001000000}">
      <formula1>"Si, No"</formula1>
    </dataValidation>
  </dataValidations>
  <pageMargins left="0.7" right="0.7" top="0.75" bottom="0.75" header="0.3" footer="0.3"/>
  <pageSetup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C74"/>
  <sheetViews>
    <sheetView topLeftCell="A58" zoomScale="80" zoomScaleNormal="80" workbookViewId="0">
      <selection activeCell="F19" sqref="F19"/>
    </sheetView>
  </sheetViews>
  <sheetFormatPr baseColWidth="10" defaultColWidth="11.42578125" defaultRowHeight="15" x14ac:dyDescent="0.25"/>
  <cols>
    <col min="3" max="3" width="22.85546875" customWidth="1"/>
    <col min="4" max="4" width="22.5703125" customWidth="1"/>
    <col min="5" max="5" width="53.42578125" customWidth="1"/>
    <col min="7" max="7" width="28.28515625" customWidth="1"/>
    <col min="8" max="8" width="4.85546875" customWidth="1"/>
    <col min="9" max="9" width="15.28515625" customWidth="1"/>
    <col min="10" max="10" width="22.42578125" customWidth="1"/>
    <col min="11" max="29" width="11.42578125" style="1"/>
  </cols>
  <sheetData>
    <row r="1" spans="1:11" x14ac:dyDescent="0.25">
      <c r="A1" s="1"/>
      <c r="B1" s="1"/>
      <c r="C1" s="1"/>
      <c r="D1" s="1"/>
      <c r="E1" s="1"/>
      <c r="F1" s="1"/>
      <c r="G1" s="1"/>
      <c r="H1" s="1"/>
      <c r="I1" s="1"/>
      <c r="J1" s="1"/>
    </row>
    <row r="2" spans="1:11" s="1" customFormat="1" x14ac:dyDescent="0.25"/>
    <row r="3" spans="1:11" s="1" customFormat="1" x14ac:dyDescent="0.25"/>
    <row r="4" spans="1:11" x14ac:dyDescent="0.25">
      <c r="A4" s="1"/>
      <c r="B4" s="1"/>
      <c r="C4" s="1"/>
      <c r="D4" s="1"/>
      <c r="E4" s="1"/>
      <c r="F4" s="1"/>
      <c r="G4" s="1"/>
      <c r="H4" s="1"/>
      <c r="I4" s="1"/>
      <c r="J4" s="1"/>
    </row>
    <row r="5" spans="1:11" x14ac:dyDescent="0.25">
      <c r="A5" s="1"/>
      <c r="B5" s="1"/>
      <c r="C5" s="1"/>
      <c r="D5" s="1"/>
      <c r="E5" s="1"/>
      <c r="F5" s="1"/>
      <c r="G5" s="1"/>
      <c r="H5" s="1"/>
      <c r="I5" s="1"/>
      <c r="J5" s="1"/>
    </row>
    <row r="6" spans="1:11" ht="15.75" thickBot="1" x14ac:dyDescent="0.3">
      <c r="A6" s="1"/>
      <c r="B6" s="1"/>
      <c r="C6" s="1"/>
      <c r="D6" s="1"/>
      <c r="E6" s="1"/>
      <c r="F6" s="1"/>
      <c r="G6" s="1"/>
      <c r="H6" s="1"/>
      <c r="I6" s="1"/>
      <c r="J6" s="1"/>
    </row>
    <row r="7" spans="1:11" ht="26.25" thickBot="1" x14ac:dyDescent="0.3">
      <c r="A7" s="1"/>
      <c r="B7" s="1"/>
      <c r="C7" s="282" t="s">
        <v>113</v>
      </c>
      <c r="D7" s="283"/>
      <c r="E7" s="283"/>
      <c r="F7" s="283"/>
      <c r="G7" s="283"/>
      <c r="H7" s="283"/>
      <c r="I7" s="283"/>
      <c r="J7" s="283"/>
      <c r="K7" s="284"/>
    </row>
    <row r="8" spans="1:11" s="1" customFormat="1" ht="15.75" thickBot="1" x14ac:dyDescent="0.3">
      <c r="C8" s="36"/>
      <c r="D8" s="36"/>
      <c r="E8" s="37"/>
      <c r="F8" s="37"/>
      <c r="G8" s="37"/>
      <c r="H8" s="37"/>
      <c r="I8" s="47"/>
      <c r="J8" s="37"/>
      <c r="K8" s="37"/>
    </row>
    <row r="9" spans="1:11" ht="21" thickBot="1" x14ac:dyDescent="0.3">
      <c r="A9" s="1"/>
      <c r="B9" s="1"/>
      <c r="C9" s="184" t="s">
        <v>15</v>
      </c>
      <c r="D9" s="185"/>
      <c r="E9" s="185" t="s">
        <v>16</v>
      </c>
      <c r="F9" s="196"/>
      <c r="G9" s="37"/>
      <c r="H9" s="37"/>
      <c r="I9" s="47"/>
      <c r="J9" s="37"/>
      <c r="K9" s="37"/>
    </row>
    <row r="10" spans="1:11" ht="54" customHeight="1" x14ac:dyDescent="0.25">
      <c r="A10" s="1"/>
      <c r="B10" s="1"/>
      <c r="C10" s="197" t="s">
        <v>17</v>
      </c>
      <c r="D10" s="198"/>
      <c r="E10" s="199" t="s">
        <v>18</v>
      </c>
      <c r="F10" s="200"/>
      <c r="G10" s="38"/>
      <c r="H10" s="39">
        <v>1</v>
      </c>
      <c r="I10" s="47"/>
      <c r="J10" s="37"/>
      <c r="K10" s="37"/>
    </row>
    <row r="11" spans="1:11" ht="46.5" customHeight="1" x14ac:dyDescent="0.25">
      <c r="A11" s="1"/>
      <c r="B11" s="1"/>
      <c r="C11" s="186" t="s">
        <v>19</v>
      </c>
      <c r="D11" s="187"/>
      <c r="E11" s="188" t="s">
        <v>114</v>
      </c>
      <c r="F11" s="189"/>
      <c r="G11" s="40" t="s">
        <v>115</v>
      </c>
      <c r="H11" s="39">
        <v>0.75</v>
      </c>
      <c r="I11" s="47"/>
      <c r="J11" s="37"/>
      <c r="K11" s="37"/>
    </row>
    <row r="12" spans="1:11" ht="70.5" customHeight="1" thickBot="1" x14ac:dyDescent="0.3">
      <c r="A12" s="1"/>
      <c r="B12" s="1"/>
      <c r="C12" s="190" t="s">
        <v>21</v>
      </c>
      <c r="D12" s="191"/>
      <c r="E12" s="192" t="s">
        <v>116</v>
      </c>
      <c r="F12" s="193"/>
      <c r="G12" s="41"/>
      <c r="H12" s="39">
        <v>0.25</v>
      </c>
      <c r="I12" s="47"/>
      <c r="J12" s="37"/>
      <c r="K12" s="37"/>
    </row>
    <row r="13" spans="1:11" s="1" customFormat="1" x14ac:dyDescent="0.25"/>
    <row r="14" spans="1:11" s="1" customFormat="1" x14ac:dyDescent="0.25"/>
    <row r="15" spans="1:11" s="1" customFormat="1" x14ac:dyDescent="0.25"/>
    <row r="16" spans="1:11" s="1" customFormat="1" ht="15.75" thickBot="1" x14ac:dyDescent="0.3"/>
    <row r="17" spans="1:10" x14ac:dyDescent="0.25">
      <c r="A17" s="1"/>
      <c r="B17" s="1"/>
      <c r="C17" s="274" t="s">
        <v>117</v>
      </c>
      <c r="D17" s="276" t="s">
        <v>118</v>
      </c>
      <c r="E17" s="277"/>
      <c r="F17" s="278" t="s">
        <v>119</v>
      </c>
      <c r="G17" s="280" t="s">
        <v>120</v>
      </c>
      <c r="H17" s="35"/>
      <c r="I17" s="269" t="s">
        <v>121</v>
      </c>
      <c r="J17" s="269" t="s">
        <v>122</v>
      </c>
    </row>
    <row r="18" spans="1:10" ht="36" customHeight="1" thickBot="1" x14ac:dyDescent="0.3">
      <c r="A18" s="1"/>
      <c r="B18" s="1"/>
      <c r="C18" s="275"/>
      <c r="D18" s="110" t="s">
        <v>123</v>
      </c>
      <c r="E18" s="111" t="s">
        <v>27</v>
      </c>
      <c r="F18" s="279"/>
      <c r="G18" s="281"/>
      <c r="H18" s="35"/>
      <c r="I18" s="270"/>
      <c r="J18" s="270"/>
    </row>
    <row r="19" spans="1:10" ht="65.25" customHeight="1" x14ac:dyDescent="0.25">
      <c r="A19" s="1"/>
      <c r="B19" s="1"/>
      <c r="C19" s="129">
        <v>1</v>
      </c>
      <c r="D19" s="271" t="s">
        <v>32</v>
      </c>
      <c r="E19" s="112" t="str">
        <f>+IFERROR(INDEX(Hoja1!$E$2:$E$45,MATCH('Análisis Resultados'!C19,Hoja1!$H$2:$H$45,0)),"")</f>
        <v>Mecanismos de rendición de cuentas a la ciudadanía</v>
      </c>
      <c r="F19" s="113" t="str">
        <f>+IFERROR(VLOOKUP(C19,Hoja1!$H$2:$I$45,2,0),"")</f>
        <v>En proceso</v>
      </c>
      <c r="G19" s="114" t="str">
        <f>+IF(F19="Si","Existe requerimiento pero se requiere actividades  dirigidas a su mantenimiento dentro del marco de las lineas de defensa.",IF(F19="En proceso","Se encuentra en proceso, pero requiere continuar con acciones dirigidas a contar con dicho aspecto de control.","No se encuentra el aspecto  por lo tanto la entidad debera generar acciones dirigidas a que se cumpla con el requerimiento."))</f>
        <v>Se encuentra en proceso, pero requiere continuar con acciones dirigidas a contar con dicho aspecto de control.</v>
      </c>
      <c r="I19" s="130">
        <f>+IF(F19="Si",1,IF(F19="En proceso",0.5,0))</f>
        <v>0.5</v>
      </c>
      <c r="J19" s="253">
        <f>+AVERAGE(I19:I30)</f>
        <v>0.95833333333333337</v>
      </c>
    </row>
    <row r="20" spans="1:10" ht="45" x14ac:dyDescent="0.25">
      <c r="A20" s="1"/>
      <c r="B20" s="1"/>
      <c r="C20" s="129">
        <v>2</v>
      </c>
      <c r="D20" s="272"/>
      <c r="E20" s="115" t="str">
        <f>+IFERROR(INDEX(Hoja1!$E$2:$E$45,MATCH('Análisis Resultados'!C20,Hoja1!$H$2:$H$45,0)),"")</f>
        <v>Documento interno o adopción del MECI actualizado</v>
      </c>
      <c r="F20" s="116" t="str">
        <f>+IFERROR(VLOOKUP(C20,Hoja1!$H$2:$I$45,2,0),"")</f>
        <v>Si</v>
      </c>
      <c r="G20" s="117" t="str">
        <f t="shared" ref="G20:G62" si="0">+IF(F20="Si","Existe requerimiento pero se requiere actividades  dirigidas a su mantenimiento dentro del marco de las lineas de defensa.",IF(F20="En proceso","Se encuentra en proceso, pero requiere continuar con acciones dirigidas a contar con dicho aspecto de control.","No se encuentra el aspecto  por lo tanto la entidad debera generar acciones dirigidas a que se cumpla con el requerimiento."))</f>
        <v>Existe requerimiento pero se requiere actividades  dirigidas a su mantenimiento dentro del marco de las lineas de defensa.</v>
      </c>
      <c r="I20" s="131">
        <f t="shared" ref="I20:I62" si="1">+IF(F20="Si",1,IF(F20="En proceso",0.5,0))</f>
        <v>1</v>
      </c>
      <c r="J20" s="254"/>
    </row>
    <row r="21" spans="1:10" ht="57" x14ac:dyDescent="0.25">
      <c r="A21" s="1"/>
      <c r="B21" s="1"/>
      <c r="C21" s="129">
        <v>3</v>
      </c>
      <c r="D21" s="272"/>
      <c r="E21" s="115" t="str">
        <f>+IFERROR(INDEX(Hoja1!$E$2:$E$45,MATCH('Análisis Resultados'!C21,Hoja1!$H$2:$H$45,0)),"")</f>
        <v>Un documento tal como un código de ética, integridad u otro que formalice los estándares de conducta, los principios institucionales o los valores del servicio público</v>
      </c>
      <c r="F21" s="116" t="str">
        <f>+IFERROR(VLOOKUP(C21,Hoja1!$H$2:$I$45,2,0),"")</f>
        <v>Si</v>
      </c>
      <c r="G21" s="117" t="str">
        <f t="shared" si="0"/>
        <v>Existe requerimiento pero se requiere actividades  dirigidas a su mantenimiento dentro del marco de las lineas de defensa.</v>
      </c>
      <c r="I21" s="131">
        <f t="shared" si="1"/>
        <v>1</v>
      </c>
      <c r="J21" s="254"/>
    </row>
    <row r="22" spans="1:10" ht="56.25" customHeight="1" x14ac:dyDescent="0.25">
      <c r="A22" s="1"/>
      <c r="B22" s="1"/>
      <c r="C22" s="129">
        <v>4</v>
      </c>
      <c r="D22" s="272"/>
      <c r="E22" s="115" t="str">
        <f>+IFERROR(INDEX(Hoja1!$E$2:$E$45,MATCH('Análisis Resultados'!C22,Hoja1!$H$2:$H$45,0)),"")</f>
        <v>Planes, programas y proyectos de acuerdo con las normas que rigen y atendiendo con su propósito fundamental institucional (misión)</v>
      </c>
      <c r="F22" s="116" t="str">
        <f>+IFERROR(VLOOKUP(C22,Hoja1!$H$2:$I$45,2,0),"")</f>
        <v>Si</v>
      </c>
      <c r="G22" s="117" t="str">
        <f t="shared" si="0"/>
        <v>Existe requerimiento pero se requiere actividades  dirigidas a su mantenimiento dentro del marco de las lineas de defensa.</v>
      </c>
      <c r="I22" s="131">
        <f t="shared" si="1"/>
        <v>1</v>
      </c>
      <c r="J22" s="254"/>
    </row>
    <row r="23" spans="1:10" ht="45" x14ac:dyDescent="0.25">
      <c r="A23" s="1"/>
      <c r="B23" s="1"/>
      <c r="C23" s="129">
        <v>5</v>
      </c>
      <c r="D23" s="272"/>
      <c r="E23" s="115" t="str">
        <f>+IFERROR(INDEX(Hoja1!$E$2:$E$45,MATCH('Análisis Resultados'!C23,Hoja1!$H$2:$H$45,0)),"")</f>
        <v>Una estructura organizacional formalizada (organigrama)</v>
      </c>
      <c r="F23" s="116" t="str">
        <f>+IFERROR(VLOOKUP(C23,Hoja1!$H$2:$I$45,2,0),"")</f>
        <v>Si</v>
      </c>
      <c r="G23" s="117" t="str">
        <f t="shared" si="0"/>
        <v>Existe requerimiento pero se requiere actividades  dirigidas a su mantenimiento dentro del marco de las lineas de defensa.</v>
      </c>
      <c r="I23" s="131">
        <f t="shared" si="1"/>
        <v>1</v>
      </c>
      <c r="J23" s="254"/>
    </row>
    <row r="24" spans="1:10" ht="45" x14ac:dyDescent="0.25">
      <c r="A24" s="1"/>
      <c r="B24" s="1"/>
      <c r="C24" s="129">
        <v>6</v>
      </c>
      <c r="D24" s="272"/>
      <c r="E24" s="115" t="str">
        <f>+IFERROR(INDEX(Hoja1!$E$2:$E$45,MATCH('Análisis Resultados'!C24,Hoja1!$H$2:$H$45,0)),"")</f>
        <v>Un manual de funciones que describa los empleos de la entidad</v>
      </c>
      <c r="F24" s="116" t="str">
        <f>+IFERROR(VLOOKUP(C24,Hoja1!$H$2:$I$45,2,0),"")</f>
        <v>Si</v>
      </c>
      <c r="G24" s="117" t="str">
        <f t="shared" si="0"/>
        <v>Existe requerimiento pero se requiere actividades  dirigidas a su mantenimiento dentro del marco de las lineas de defensa.</v>
      </c>
      <c r="I24" s="131">
        <f t="shared" si="1"/>
        <v>1</v>
      </c>
      <c r="J24" s="254"/>
    </row>
    <row r="25" spans="1:10" ht="45" x14ac:dyDescent="0.25">
      <c r="A25" s="1"/>
      <c r="B25" s="1"/>
      <c r="C25" s="129">
        <v>7</v>
      </c>
      <c r="D25" s="272"/>
      <c r="E25" s="115" t="str">
        <f>+IFERROR(INDEX(Hoja1!$E$2:$E$45,MATCH('Análisis Resultados'!C25,Hoja1!$H$2:$H$45,0)),"")</f>
        <v>La documentación de sus procesos y procedimientos o bien una lista de actividades principales que permitan conocer el estado de su gestión</v>
      </c>
      <c r="F25" s="116" t="str">
        <f>+IFERROR(VLOOKUP(C25,Hoja1!$H$2:$I$45,2,0),"")</f>
        <v>Si</v>
      </c>
      <c r="G25" s="117" t="str">
        <f t="shared" si="0"/>
        <v>Existe requerimiento pero se requiere actividades  dirigidas a su mantenimiento dentro del marco de las lineas de defensa.</v>
      </c>
      <c r="I25" s="131">
        <f t="shared" si="1"/>
        <v>1</v>
      </c>
      <c r="J25" s="254"/>
    </row>
    <row r="26" spans="1:10" ht="45" x14ac:dyDescent="0.25">
      <c r="A26" s="1"/>
      <c r="B26" s="1"/>
      <c r="C26" s="129">
        <v>8</v>
      </c>
      <c r="D26" s="272"/>
      <c r="E26" s="115" t="str">
        <f>+IFERROR(INDEX(Hoja1!$E$2:$E$45,MATCH('Análisis Resultados'!C26,Hoja1!$H$2:$H$45,0)),"")</f>
        <v>Vinculación de los servidores públicos de acuerdo con el marco normativo que les rige (carrera administrativa, libre nombramiento y remoción, entre otros)</v>
      </c>
      <c r="F26" s="116" t="str">
        <f>+IFERROR(VLOOKUP(C26,Hoja1!$H$2:$I$45,2,0),"")</f>
        <v>Si</v>
      </c>
      <c r="G26" s="117" t="str">
        <f t="shared" si="0"/>
        <v>Existe requerimiento pero se requiere actividades  dirigidas a su mantenimiento dentro del marco de las lineas de defensa.</v>
      </c>
      <c r="I26" s="131">
        <f t="shared" si="1"/>
        <v>1</v>
      </c>
      <c r="J26" s="254"/>
    </row>
    <row r="27" spans="1:10" ht="45" x14ac:dyDescent="0.25">
      <c r="A27" s="1"/>
      <c r="B27" s="1"/>
      <c r="C27" s="129">
        <v>9</v>
      </c>
      <c r="D27" s="272"/>
      <c r="E27" s="115" t="str">
        <f>+IFERROR(INDEX(Hoja1!$E$2:$E$45,MATCH('Análisis Resultados'!C27,Hoja1!$H$2:$H$45,0)),"")</f>
        <v>Procesos de inducción, capacitación y bienestar social para sus servidores públicos, de manera directa o en asociación con otras entidades municipales</v>
      </c>
      <c r="F27" s="116" t="str">
        <f>+IFERROR(VLOOKUP(C27,Hoja1!$H$2:$I$45,2,0),"")</f>
        <v>Si</v>
      </c>
      <c r="G27" s="117" t="str">
        <f t="shared" si="0"/>
        <v>Existe requerimiento pero se requiere actividades  dirigidas a su mantenimiento dentro del marco de las lineas de defensa.</v>
      </c>
      <c r="I27" s="131">
        <f t="shared" si="1"/>
        <v>1</v>
      </c>
      <c r="J27" s="254"/>
    </row>
    <row r="28" spans="1:10" ht="45" x14ac:dyDescent="0.25">
      <c r="A28" s="1"/>
      <c r="B28" s="1"/>
      <c r="C28" s="129">
        <v>10</v>
      </c>
      <c r="D28" s="272"/>
      <c r="E28" s="115" t="str">
        <f>+IFERROR(INDEX(Hoja1!$E$2:$E$45,MATCH('Análisis Resultados'!C28,Hoja1!$H$2:$H$45,0)),"")</f>
        <v>Evaluación a los servidores públicos de acuerdo con el marco normativo que le rige</v>
      </c>
      <c r="F28" s="116" t="str">
        <f>+IFERROR(VLOOKUP(C28,Hoja1!$H$2:$I$45,2,0),"")</f>
        <v>Si</v>
      </c>
      <c r="G28" s="117" t="str">
        <f t="shared" si="0"/>
        <v>Existe requerimiento pero se requiere actividades  dirigidas a su mantenimiento dentro del marco de las lineas de defensa.</v>
      </c>
      <c r="I28" s="131">
        <f t="shared" si="1"/>
        <v>1</v>
      </c>
      <c r="J28" s="254"/>
    </row>
    <row r="29" spans="1:10" ht="45" x14ac:dyDescent="0.25">
      <c r="A29" s="1"/>
      <c r="B29" s="1"/>
      <c r="C29" s="129">
        <v>11</v>
      </c>
      <c r="D29" s="272"/>
      <c r="E29" s="115" t="str">
        <f>+IFERROR(INDEX(Hoja1!$E$2:$E$45,MATCH('Análisis Resultados'!C29,Hoja1!$H$2:$H$45,0)),"")</f>
        <v>Procesos de desvinculación de servidores de acuerdo con lo previsto en la Constitución Política y las leyes</v>
      </c>
      <c r="F29" s="116" t="str">
        <f>+IFERROR(VLOOKUP(C29,Hoja1!$H$2:$I$45,2,0),"")</f>
        <v>Si</v>
      </c>
      <c r="G29" s="117" t="str">
        <f>+IF(F29="Si","Existe requerimiento pero se requiere actividades  dirigidas a su mantenimiento dentro del marco de las lineas de defensa.",IF(F29="En proceso","Se encuentra en proceso, pero requiere continuar con acciones dirigidas a contar con dicho aspecto de control.","No se encuentra el aspecto  por lo tanto la entidad debera generar acciones dirigidas a que se cumpla con el requerimiento."))</f>
        <v>Existe requerimiento pero se requiere actividades  dirigidas a su mantenimiento dentro del marco de las lineas de defensa.</v>
      </c>
      <c r="I29" s="131">
        <f t="shared" si="1"/>
        <v>1</v>
      </c>
      <c r="J29" s="254"/>
    </row>
    <row r="30" spans="1:10" ht="45.75" thickBot="1" x14ac:dyDescent="0.3">
      <c r="A30" s="1"/>
      <c r="B30" s="1"/>
      <c r="C30" s="129">
        <v>12</v>
      </c>
      <c r="D30" s="273"/>
      <c r="E30" s="118" t="str">
        <f>+IFERROR(INDEX(Hoja1!$E$2:$E$45,MATCH('Análisis Resultados'!C30,Hoja1!$H$2:$H$45,0)),"")</f>
        <v>Presentación oportuna de sus informes de gestión a las autoridades competentes</v>
      </c>
      <c r="F30" s="119" t="str">
        <f>+IFERROR(VLOOKUP(C30,Hoja1!$H$2:$I$45,2,0),"")</f>
        <v>Si</v>
      </c>
      <c r="G30" s="120" t="str">
        <f t="shared" si="0"/>
        <v>Existe requerimiento pero se requiere actividades  dirigidas a su mantenimiento dentro del marco de las lineas de defensa.</v>
      </c>
      <c r="I30" s="132">
        <f t="shared" si="1"/>
        <v>1</v>
      </c>
      <c r="J30" s="255"/>
    </row>
    <row r="31" spans="1:10" ht="45" customHeight="1" x14ac:dyDescent="0.25">
      <c r="A31" s="1"/>
      <c r="B31" s="1"/>
      <c r="C31" s="129">
        <v>13</v>
      </c>
      <c r="D31" s="267" t="s">
        <v>61</v>
      </c>
      <c r="E31" s="112" t="str">
        <f>+IFERROR(INDEX(Hoja1!$E$2:$E$45,MATCH('Análisis Resultados'!C31,Hoja1!$H$2:$H$45,0)),"")</f>
        <v>La identificación de cambios en su entorno que pueden generar consecuencias negativas en su gestión</v>
      </c>
      <c r="F31" s="113" t="str">
        <f>+IFERROR(VLOOKUP(C31,Hoja1!$H$2:$I$45,2,0),"")</f>
        <v>Si</v>
      </c>
      <c r="G31" s="114" t="str">
        <f t="shared" si="0"/>
        <v>Existe requerimiento pero se requiere actividades  dirigidas a su mantenimiento dentro del marco de las lineas de defensa.</v>
      </c>
      <c r="I31" s="130">
        <f t="shared" si="1"/>
        <v>1</v>
      </c>
      <c r="J31" s="251">
        <f>+AVERAGE(I31:I40)</f>
        <v>1</v>
      </c>
    </row>
    <row r="32" spans="1:10" ht="57" customHeight="1" x14ac:dyDescent="0.25">
      <c r="A32" s="1"/>
      <c r="B32" s="1"/>
      <c r="C32" s="129">
        <v>14</v>
      </c>
      <c r="D32" s="268"/>
      <c r="E32" s="115" t="str">
        <f>+IFERROR(INDEX(Hoja1!$E$2:$E$45,MATCH('Análisis Resultados'!C32,Hoja1!$H$2:$H$45,0)),"")</f>
        <v>La identificación de aquellos problemas o aspectos que pueden afectar el cumplimiento de los planes de la entidad y en general su gestión institucional (riesgos)</v>
      </c>
      <c r="F32" s="116" t="str">
        <f>+IFERROR(VLOOKUP(C32,Hoja1!$H$2:$I$45,2,0),"")</f>
        <v>Si</v>
      </c>
      <c r="G32" s="117" t="str">
        <f t="shared" si="0"/>
        <v>Existe requerimiento pero se requiere actividades  dirigidas a su mantenimiento dentro del marco de las lineas de defensa.</v>
      </c>
      <c r="I32" s="131">
        <f t="shared" si="1"/>
        <v>1</v>
      </c>
      <c r="J32" s="252"/>
    </row>
    <row r="33" spans="1:10" ht="54" customHeight="1" x14ac:dyDescent="0.25">
      <c r="A33" s="1"/>
      <c r="B33" s="1"/>
      <c r="C33" s="129">
        <v>15</v>
      </c>
      <c r="D33" s="268"/>
      <c r="E33" s="115" t="str">
        <f>+IFERROR(INDEX(Hoja1!$E$2:$E$45,MATCH('Análisis Resultados'!C33,Hoja1!$H$2:$H$45,0)),"")</f>
        <v>La identificación  de los riesgos relacionados con posibles actos de corrupción en el ejercicio de sus funciones</v>
      </c>
      <c r="F33" s="116" t="str">
        <f>+IFERROR(VLOOKUP(C33,Hoja1!$H$2:$I$45,2,0),"")</f>
        <v>Si</v>
      </c>
      <c r="G33" s="117" t="str">
        <f t="shared" si="0"/>
        <v>Existe requerimiento pero se requiere actividades  dirigidas a su mantenimiento dentro del marco de las lineas de defensa.</v>
      </c>
      <c r="I33" s="131">
        <f t="shared" si="1"/>
        <v>1</v>
      </c>
      <c r="J33" s="252"/>
    </row>
    <row r="34" spans="1:10" ht="45" x14ac:dyDescent="0.25">
      <c r="A34" s="1"/>
      <c r="B34" s="1"/>
      <c r="C34" s="129">
        <v>16</v>
      </c>
      <c r="D34" s="268"/>
      <c r="E34" s="115" t="str">
        <f>+IFERROR(INDEX(Hoja1!$E$2:$E$45,MATCH('Análisis Resultados'!C34,Hoja1!$H$2:$H$45,0)),"")</f>
        <v>Si su capacidad e infraestructura lo permite, identificación de riesgos asociados a las tecnologías de la información y las comunicaciones</v>
      </c>
      <c r="F34" s="116" t="str">
        <f>+IFERROR(VLOOKUP(C34,Hoja1!$H$2:$I$45,2,0),"")</f>
        <v>Si</v>
      </c>
      <c r="G34" s="117" t="str">
        <f t="shared" si="0"/>
        <v>Existe requerimiento pero se requiere actividades  dirigidas a su mantenimiento dentro del marco de las lineas de defensa.</v>
      </c>
      <c r="I34" s="131">
        <f t="shared" si="1"/>
        <v>1</v>
      </c>
      <c r="J34" s="252"/>
    </row>
    <row r="35" spans="1:10" ht="67.5" customHeight="1" x14ac:dyDescent="0.25">
      <c r="A35" s="1"/>
      <c r="B35" s="1"/>
      <c r="C35" s="129">
        <v>17</v>
      </c>
      <c r="D35" s="268"/>
      <c r="E35" s="115" t="str">
        <f>+IFERROR(INDEX(Hoja1!$E$2:$E$45,MATCH('Análisis Resultados'!C35,Hoja1!$H$2:$H$45,0)),"")</f>
        <v>Hacen seguimiento a los problemas (riesgos)  que pueden afectar el cumplimiento de sus procesos, programas o proyectos a cargo</v>
      </c>
      <c r="F35" s="116" t="str">
        <f>+IFERROR(VLOOKUP(C35,Hoja1!$H$2:$I$45,2,0),"")</f>
        <v>Si</v>
      </c>
      <c r="G35" s="117" t="str">
        <f t="shared" si="0"/>
        <v>Existe requerimiento pero se requiere actividades  dirigidas a su mantenimiento dentro del marco de las lineas de defensa.</v>
      </c>
      <c r="I35" s="131">
        <f t="shared" si="1"/>
        <v>1</v>
      </c>
      <c r="J35" s="252"/>
    </row>
    <row r="36" spans="1:10" ht="45" x14ac:dyDescent="0.25">
      <c r="A36" s="1"/>
      <c r="B36" s="1"/>
      <c r="C36" s="129">
        <v>18</v>
      </c>
      <c r="D36" s="268"/>
      <c r="E36" s="115" t="str">
        <f>+IFERROR(INDEX(Hoja1!$E$2:$E$45,MATCH('Análisis Resultados'!C36,Hoja1!$H$2:$H$45,0)),"")</f>
        <v>Informan de manera periódica a quien corresponda sobre el desempeño de las actividades de gestión de riesgos</v>
      </c>
      <c r="F36" s="116" t="str">
        <f>+IFERROR(VLOOKUP(C36,Hoja1!$H$2:$I$45,2,0),"")</f>
        <v>Si</v>
      </c>
      <c r="G36" s="117" t="str">
        <f t="shared" si="0"/>
        <v>Existe requerimiento pero se requiere actividades  dirigidas a su mantenimiento dentro del marco de las lineas de defensa.</v>
      </c>
      <c r="I36" s="131">
        <f t="shared" si="1"/>
        <v>1</v>
      </c>
      <c r="J36" s="252"/>
    </row>
    <row r="37" spans="1:10" ht="57" customHeight="1" x14ac:dyDescent="0.25">
      <c r="A37" s="1"/>
      <c r="B37" s="1"/>
      <c r="C37" s="129">
        <v>19</v>
      </c>
      <c r="D37" s="268"/>
      <c r="E37" s="115" t="str">
        <f>+IFERROR(INDEX(Hoja1!$E$2:$E$45,MATCH('Análisis Resultados'!C37,Hoja1!$H$2:$H$45,0)),"")</f>
        <v>Identifican deficiencias en las maneras de  controlar los riesgos o problemas en sus procesos, programas o proyectos, y propone los ajustes necesarios</v>
      </c>
      <c r="F37" s="116" t="str">
        <f>+IFERROR(VLOOKUP(C37,Hoja1!$H$2:$I$45,2,0),"")</f>
        <v>Si</v>
      </c>
      <c r="G37" s="117" t="str">
        <f t="shared" si="0"/>
        <v>Existe requerimiento pero se requiere actividades  dirigidas a su mantenimiento dentro del marco de las lineas de defensa.</v>
      </c>
      <c r="I37" s="131">
        <f t="shared" si="1"/>
        <v>1</v>
      </c>
      <c r="J37" s="252"/>
    </row>
    <row r="38" spans="1:10" ht="45" x14ac:dyDescent="0.25">
      <c r="A38" s="1"/>
      <c r="B38" s="1"/>
      <c r="C38" s="129">
        <v>20</v>
      </c>
      <c r="D38" s="268"/>
      <c r="E38" s="115" t="str">
        <f>+IFERROR(INDEX(Hoja1!$E$2:$E$45,MATCH('Análisis Resultados'!C38,Hoja1!$H$2:$H$45,0)),"")</f>
        <v>Se definen espacios de reunión para conocerlos y proponer acciones para su solución</v>
      </c>
      <c r="F38" s="116" t="str">
        <f>+IFERROR(VLOOKUP(C38,Hoja1!$H$2:$I$45,2,0),"")</f>
        <v>Si</v>
      </c>
      <c r="G38" s="117" t="str">
        <f t="shared" si="0"/>
        <v>Existe requerimiento pero se requiere actividades  dirigidas a su mantenimiento dentro del marco de las lineas de defensa.</v>
      </c>
      <c r="I38" s="131">
        <f t="shared" si="1"/>
        <v>1</v>
      </c>
      <c r="J38" s="252"/>
    </row>
    <row r="39" spans="1:10" ht="45" x14ac:dyDescent="0.25">
      <c r="A39" s="1"/>
      <c r="B39" s="1"/>
      <c r="C39" s="129">
        <v>21</v>
      </c>
      <c r="D39" s="268"/>
      <c r="E39" s="115" t="str">
        <f>+IFERROR(INDEX(Hoja1!$E$2:$E$45,MATCH('Análisis Resultados'!C39,Hoja1!$H$2:$H$45,0)),"")</f>
        <v>Cada líder del equipo autónomamente toma las acciones para solucionarlos.</v>
      </c>
      <c r="F39" s="116" t="str">
        <f>+IFERROR(VLOOKUP(C39,Hoja1!$H$2:$I$45,2,0),"")</f>
        <v>Si</v>
      </c>
      <c r="G39" s="117" t="str">
        <f t="shared" si="0"/>
        <v>Existe requerimiento pero se requiere actividades  dirigidas a su mantenimiento dentro del marco de las lineas de defensa.</v>
      </c>
      <c r="I39" s="131">
        <f t="shared" si="1"/>
        <v>1</v>
      </c>
      <c r="J39" s="252"/>
    </row>
    <row r="40" spans="1:10" ht="45.75" thickBot="1" x14ac:dyDescent="0.3">
      <c r="A40" s="1"/>
      <c r="B40" s="1"/>
      <c r="C40" s="129">
        <v>22</v>
      </c>
      <c r="D40" s="268"/>
      <c r="E40" s="121" t="str">
        <f>+IFERROR(INDEX(Hoja1!$E$2:$E$45,MATCH('Análisis Resultados'!C40,Hoja1!$H$2:$H$45,0)),"")</f>
        <v>Solamente hasta que un organismo de control actúa se definen acciones de mejora.</v>
      </c>
      <c r="F40" s="122" t="str">
        <f>+IFERROR(VLOOKUP(C40,Hoja1!$H$2:$I$45,2,0),"")</f>
        <v>Si</v>
      </c>
      <c r="G40" s="123" t="str">
        <f t="shared" si="0"/>
        <v>Existe requerimiento pero se requiere actividades  dirigidas a su mantenimiento dentro del marco de las lineas de defensa.</v>
      </c>
      <c r="I40" s="133">
        <f t="shared" si="1"/>
        <v>1</v>
      </c>
      <c r="J40" s="252"/>
    </row>
    <row r="41" spans="1:10" ht="87.75" customHeight="1" x14ac:dyDescent="0.25">
      <c r="A41" s="1"/>
      <c r="B41" s="1"/>
      <c r="C41" s="129">
        <v>23</v>
      </c>
      <c r="D41" s="263" t="s">
        <v>79</v>
      </c>
      <c r="E41" s="112" t="str">
        <f>+IFERROR(INDEX(Hoja1!$E$2:$E$45,MATCH('Análisis Resultados'!C41,Hoja1!$H$2:$H$45,0)),"")</f>
        <v>La definición de acciones o actividades para para dar tratamiento a los problemas identificados (mitigación de riesgos), incluyendo aquellos asociados a posibles actos de corrupción</v>
      </c>
      <c r="F41" s="113" t="str">
        <f>+IFERROR(VLOOKUP(C41,Hoja1!$H$2:$I$45,2,0),"")</f>
        <v>Si</v>
      </c>
      <c r="G41" s="114" t="str">
        <f t="shared" si="0"/>
        <v>Existe requerimiento pero se requiere actividades  dirigidas a su mantenimiento dentro del marco de las lineas de defensa.</v>
      </c>
      <c r="I41" s="130">
        <f t="shared" si="1"/>
        <v>1</v>
      </c>
      <c r="J41" s="251">
        <f>+AVERAGE(I41:I45)</f>
        <v>1</v>
      </c>
    </row>
    <row r="42" spans="1:10" ht="57" x14ac:dyDescent="0.25">
      <c r="A42" s="1"/>
      <c r="B42" s="1"/>
      <c r="C42" s="129">
        <v>24</v>
      </c>
      <c r="D42" s="264"/>
      <c r="E42" s="115" t="str">
        <f>+IFERROR(INDEX(Hoja1!$E$2:$E$45,MATCH('Análisis Resultados'!C42,Hoja1!$H$2:$H$45,0)),"")</f>
        <v>Mecanismos de verificación de si se están o no mitigando los riesgos, o en su defecto, elaboración de planes de contingencia para subsanar sus consecuencias</v>
      </c>
      <c r="F42" s="116" t="str">
        <f>+IFERROR(VLOOKUP(C42,Hoja1!$H$2:$I$45,2,0),"")</f>
        <v>Si</v>
      </c>
      <c r="G42" s="117" t="str">
        <f t="shared" si="0"/>
        <v>Existe requerimiento pero se requiere actividades  dirigidas a su mantenimiento dentro del marco de las lineas de defensa.</v>
      </c>
      <c r="I42" s="131">
        <f t="shared" si="1"/>
        <v>1</v>
      </c>
      <c r="J42" s="252"/>
    </row>
    <row r="43" spans="1:10" ht="85.5" customHeight="1" x14ac:dyDescent="0.25">
      <c r="A43" s="1"/>
      <c r="B43" s="1"/>
      <c r="C43" s="129">
        <v>25</v>
      </c>
      <c r="D43" s="264"/>
      <c r="E43" s="115" t="str">
        <f>+IFERROR(INDEX(Hoja1!$E$2:$E$45,MATCH('Análisis Resultados'!C43,Hoja1!$H$2:$H$45,0)),"")</f>
        <v>Planes, acciones o estrategias que permitan subsanar las consecuencias de la materialización de los riesgos, cuando se presentan</v>
      </c>
      <c r="F43" s="116" t="str">
        <f>+IFERROR(VLOOKUP(C43,Hoja1!$H$2:$I$45,2,0),"")</f>
        <v>Si</v>
      </c>
      <c r="G43" s="117" t="str">
        <f t="shared" si="0"/>
        <v>Existe requerimiento pero se requiere actividades  dirigidas a su mantenimiento dentro del marco de las lineas de defensa.</v>
      </c>
      <c r="I43" s="131">
        <f t="shared" si="1"/>
        <v>1</v>
      </c>
      <c r="J43" s="252"/>
    </row>
    <row r="44" spans="1:10" ht="57" customHeight="1" x14ac:dyDescent="0.25">
      <c r="A44" s="1"/>
      <c r="B44" s="1"/>
      <c r="C44" s="129">
        <v>26</v>
      </c>
      <c r="D44" s="264"/>
      <c r="E44" s="115" t="str">
        <f>+IFERROR(INDEX(Hoja1!$E$2:$E$45,MATCH('Análisis Resultados'!C44,Hoja1!$H$2:$H$45,0)),"")</f>
        <v>Un documento que consolide  los riesgos  y el tratamiento que se les da, incluyendo aquellos que conllevan posibles actos de corrupción y si la capacidad e infraestructura lo permite, los asociados con las tecnologías de la información y las comunicaciones</v>
      </c>
      <c r="F44" s="116" t="str">
        <f>+IFERROR(VLOOKUP(C44,Hoja1!$H$2:$I$45,2,0),"")</f>
        <v>Si</v>
      </c>
      <c r="G44" s="117" t="str">
        <f t="shared" si="0"/>
        <v>Existe requerimiento pero se requiere actividades  dirigidas a su mantenimiento dentro del marco de las lineas de defensa.</v>
      </c>
      <c r="I44" s="131">
        <f t="shared" si="1"/>
        <v>1</v>
      </c>
      <c r="J44" s="252"/>
    </row>
    <row r="45" spans="1:10" ht="57" customHeight="1" thickBot="1" x14ac:dyDescent="0.3">
      <c r="A45" s="1"/>
      <c r="B45" s="1"/>
      <c r="C45" s="129">
        <v>27</v>
      </c>
      <c r="D45" s="265"/>
      <c r="E45" s="118" t="str">
        <f>+IFERROR(INDEX(Hoja1!$E$2:$E$45,MATCH('Análisis Resultados'!C45,Hoja1!$H$2:$H$45,0)),"")</f>
        <v>Un plan anticorrupción y de servicio al ciudadano con los temas que le aplican, publicado en algún medio para conocimiento de la ciudadanía</v>
      </c>
      <c r="F45" s="119" t="str">
        <f>+IFERROR(VLOOKUP(C45,Hoja1!$H$2:$I$45,2,0),"")</f>
        <v>Si</v>
      </c>
      <c r="G45" s="120" t="str">
        <f t="shared" si="0"/>
        <v>Existe requerimiento pero se requiere actividades  dirigidas a su mantenimiento dentro del marco de las lineas de defensa.</v>
      </c>
      <c r="I45" s="132">
        <f t="shared" si="1"/>
        <v>1</v>
      </c>
      <c r="J45" s="266"/>
    </row>
    <row r="46" spans="1:10" ht="63.75" customHeight="1" x14ac:dyDescent="0.25">
      <c r="A46" s="1"/>
      <c r="B46" s="1"/>
      <c r="C46" s="129">
        <v>28</v>
      </c>
      <c r="D46" s="262" t="s">
        <v>87</v>
      </c>
      <c r="E46" s="124" t="str">
        <f>+IFERROR(INDEX(Hoja1!$E$2:$E$45,MATCH('Análisis Resultados'!C46,Hoja1!$H$2:$H$45,0)),"")</f>
        <v>Responsables de la información institucional</v>
      </c>
      <c r="F46" s="125" t="str">
        <f>+IFERROR(VLOOKUP(C46,Hoja1!$H$2:$I$45,2,0),"")</f>
        <v>Si</v>
      </c>
      <c r="G46" s="126" t="str">
        <f t="shared" si="0"/>
        <v>Existe requerimiento pero se requiere actividades  dirigidas a su mantenimiento dentro del marco de las lineas de defensa.</v>
      </c>
      <c r="I46" s="134">
        <f t="shared" si="1"/>
        <v>1</v>
      </c>
      <c r="J46" s="252">
        <f>+AVERAGE(I46:I52)</f>
        <v>1</v>
      </c>
    </row>
    <row r="47" spans="1:10" ht="92.25" customHeight="1" x14ac:dyDescent="0.25">
      <c r="A47" s="1"/>
      <c r="B47" s="1"/>
      <c r="C47" s="129">
        <v>29</v>
      </c>
      <c r="D47" s="262"/>
      <c r="E47" s="115" t="str">
        <f>+IFERROR(INDEX(Hoja1!$E$2:$E$45,MATCH('Análisis Resultados'!C47,Hoja1!$H$2:$H$45,0)),"")</f>
        <v>Canales de comunicación con los ciudadanos</v>
      </c>
      <c r="F47" s="116" t="str">
        <f>+IFERROR(VLOOKUP(C47,Hoja1!$H$2:$I$45,2,0),"")</f>
        <v>Si</v>
      </c>
      <c r="G47" s="127" t="str">
        <f t="shared" si="0"/>
        <v>Existe requerimiento pero se requiere actividades  dirigidas a su mantenimiento dentro del marco de las lineas de defensa.</v>
      </c>
      <c r="I47" s="135">
        <f t="shared" si="1"/>
        <v>1</v>
      </c>
      <c r="J47" s="252"/>
    </row>
    <row r="48" spans="1:10" ht="66.75" customHeight="1" x14ac:dyDescent="0.25">
      <c r="A48" s="1"/>
      <c r="B48" s="1"/>
      <c r="C48" s="129">
        <v>30</v>
      </c>
      <c r="D48" s="262"/>
      <c r="E48" s="115" t="str">
        <f>+IFERROR(INDEX(Hoja1!$E$2:$E$45,MATCH('Análisis Resultados'!C48,Hoja1!$H$2:$H$45,0)),"")</f>
        <v>Canales de comunicación o mecanismos de reporte de información a otros organismos gubernamentales o de control</v>
      </c>
      <c r="F48" s="116" t="str">
        <f>+IFERROR(VLOOKUP(C48,Hoja1!$H$2:$I$45,2,0),"")</f>
        <v>Si</v>
      </c>
      <c r="G48" s="127" t="str">
        <f t="shared" si="0"/>
        <v>Existe requerimiento pero se requiere actividades  dirigidas a su mantenimiento dentro del marco de las lineas de defensa.</v>
      </c>
      <c r="I48" s="135">
        <f t="shared" si="1"/>
        <v>1</v>
      </c>
      <c r="J48" s="252"/>
    </row>
    <row r="49" spans="1:10" ht="60" customHeight="1" x14ac:dyDescent="0.25">
      <c r="A49" s="1"/>
      <c r="B49" s="1"/>
      <c r="C49" s="129">
        <v>31</v>
      </c>
      <c r="D49" s="262"/>
      <c r="E49" s="115" t="str">
        <f>+IFERROR(INDEX(Hoja1!$E$2:$E$45,MATCH('Análisis Resultados'!C49,Hoja1!$H$2:$H$45,0)),"")</f>
        <v xml:space="preserve">Lineamientos para dar tratamiento a la información de carácter reservado </v>
      </c>
      <c r="F49" s="116" t="str">
        <f>+IFERROR(VLOOKUP(C49,Hoja1!$H$2:$I$45,2,0),"")</f>
        <v>Si</v>
      </c>
      <c r="G49" s="127" t="str">
        <f t="shared" si="0"/>
        <v>Existe requerimiento pero se requiere actividades  dirigidas a su mantenimiento dentro del marco de las lineas de defensa.</v>
      </c>
      <c r="I49" s="135">
        <f t="shared" si="1"/>
        <v>1</v>
      </c>
      <c r="J49" s="252"/>
    </row>
    <row r="50" spans="1:10" ht="57" customHeight="1" x14ac:dyDescent="0.25">
      <c r="A50" s="1"/>
      <c r="B50" s="1"/>
      <c r="C50" s="129">
        <v>32</v>
      </c>
      <c r="D50" s="262"/>
      <c r="E50" s="115" t="str">
        <f>+IFERROR(INDEX(Hoja1!$E$2:$E$45,MATCH('Análisis Resultados'!C50,Hoja1!$H$2:$H$45,0)),"")</f>
        <v>Identificación de información que produce en el marco de su gestión (Para los ciudadanos, organismos de control, organismos gubernamentales, entre otros)</v>
      </c>
      <c r="F50" s="116" t="str">
        <f>+IFERROR(VLOOKUP(C50,Hoja1!$H$2:$I$45,2,0),"")</f>
        <v>Si</v>
      </c>
      <c r="G50" s="127" t="str">
        <f t="shared" si="0"/>
        <v>Existe requerimiento pero se requiere actividades  dirigidas a su mantenimiento dentro del marco de las lineas de defensa.</v>
      </c>
      <c r="I50" s="135">
        <f t="shared" si="1"/>
        <v>1</v>
      </c>
      <c r="J50" s="252"/>
    </row>
    <row r="51" spans="1:10" ht="57" customHeight="1" x14ac:dyDescent="0.25">
      <c r="A51" s="1"/>
      <c r="B51" s="1"/>
      <c r="C51" s="129">
        <v>33</v>
      </c>
      <c r="D51" s="262"/>
      <c r="E51" s="115" t="str">
        <f>+IFERROR(INDEX(Hoja1!$E$2:$E$45,MATCH('Análisis Resultados'!C51,Hoja1!$H$2:$H$45,0)),"")</f>
        <v>Identificación de información necesaria para la operación de la entidad (normograma, presupuesto, talento humano, infraestructura física y tecnológica)</v>
      </c>
      <c r="F51" s="116" t="str">
        <f>+IFERROR(VLOOKUP(C51,Hoja1!$H$2:$I$45,2,0),"")</f>
        <v>Si</v>
      </c>
      <c r="G51" s="127" t="str">
        <f t="shared" si="0"/>
        <v>Existe requerimiento pero se requiere actividades  dirigidas a su mantenimiento dentro del marco de las lineas de defensa.</v>
      </c>
      <c r="I51" s="135">
        <f t="shared" si="1"/>
        <v>1</v>
      </c>
      <c r="J51" s="252"/>
    </row>
    <row r="52" spans="1:10" ht="45.75" thickBot="1" x14ac:dyDescent="0.3">
      <c r="A52" s="1"/>
      <c r="B52" s="1"/>
      <c r="C52" s="129">
        <v>34</v>
      </c>
      <c r="D52" s="262"/>
      <c r="E52" s="121" t="str">
        <f>+IFERROR(INDEX(Hoja1!$E$2:$E$45,MATCH('Análisis Resultados'!C52,Hoja1!$H$2:$H$45,0)),"")</f>
        <v>Si su capacidad e infraestructura lo permite, tecnologías de la información y las comunicaciones que soporten estos procesos</v>
      </c>
      <c r="F52" s="122" t="str">
        <f>+IFERROR(VLOOKUP(C52,Hoja1!$H$2:$I$45,2,0),"")</f>
        <v>Si</v>
      </c>
      <c r="G52" s="128" t="str">
        <f t="shared" si="0"/>
        <v>Existe requerimiento pero se requiere actividades  dirigidas a su mantenimiento dentro del marco de las lineas de defensa.</v>
      </c>
      <c r="I52" s="136">
        <f t="shared" si="1"/>
        <v>1</v>
      </c>
      <c r="J52" s="252"/>
    </row>
    <row r="53" spans="1:10" ht="41.25" customHeight="1" x14ac:dyDescent="0.25">
      <c r="A53" s="1"/>
      <c r="B53" s="1"/>
      <c r="C53" s="129">
        <v>35</v>
      </c>
      <c r="D53" s="256" t="s">
        <v>97</v>
      </c>
      <c r="E53" s="112" t="str">
        <f>+IFERROR(INDEX(Hoja1!$E$2:$E$45,MATCH('Análisis Resultados'!C53,Hoja1!$H$2:$H$45,0)),"")</f>
        <v>Algún mecanismo para monitorear o supervisar el sistema de control interno institucional, ya sea por parte del representante legal, o del área de control interno (si la entidad cuenta con ella), o bien a través del Comité departamental o municipal de Auditoría.</v>
      </c>
      <c r="F53" s="113" t="str">
        <f>+IFERROR(VLOOKUP(C53,Hoja1!$H$2:$I$45,2,0),"")</f>
        <v>No</v>
      </c>
      <c r="G53" s="114" t="str">
        <f t="shared" si="0"/>
        <v>No se encuentra el aspecto  por lo tanto la entidad debera generar acciones dirigidas a que se cumpla con el requerimiento.</v>
      </c>
      <c r="I53" s="130">
        <f t="shared" si="1"/>
        <v>0</v>
      </c>
      <c r="J53" s="259">
        <f>+AVERAGE(I53:I62)</f>
        <v>0.9</v>
      </c>
    </row>
    <row r="54" spans="1:10" ht="58.5" customHeight="1" x14ac:dyDescent="0.25">
      <c r="A54" s="1"/>
      <c r="B54" s="1"/>
      <c r="C54" s="129">
        <v>36</v>
      </c>
      <c r="D54" s="257"/>
      <c r="E54" s="115" t="str">
        <f>+IFERROR(INDEX(Hoja1!$E$2:$E$45,MATCH('Análisis Resultados'!C54,Hoja1!$H$2:$H$45,0)),"")</f>
        <v>Mecanismos de evaluación de la gestión (cronogramas, indicadores, listas de chequeo u otros)</v>
      </c>
      <c r="F54" s="116" t="str">
        <f>+IFERROR(VLOOKUP(C54,Hoja1!$H$2:$I$45,2,0),"")</f>
        <v>Si</v>
      </c>
      <c r="G54" s="117" t="str">
        <f t="shared" si="0"/>
        <v>Existe requerimiento pero se requiere actividades  dirigidas a su mantenimiento dentro del marco de las lineas de defensa.</v>
      </c>
      <c r="I54" s="131">
        <f t="shared" si="1"/>
        <v>1</v>
      </c>
      <c r="J54" s="260"/>
    </row>
    <row r="55" spans="1:10" s="1" customFormat="1" ht="84.75" customHeight="1" x14ac:dyDescent="0.25">
      <c r="C55" s="129">
        <v>37</v>
      </c>
      <c r="D55" s="257"/>
      <c r="E55" s="115" t="str">
        <f>+IFERROR(INDEX(Hoja1!$E$2:$E$45,MATCH('Análisis Resultados'!C55,Hoja1!$H$2:$H$45,0)),"")</f>
        <v>Medidas correctivas en caso de detectarse deficiencias en los ejercicios de evaluación, seguimiento o auditoría</v>
      </c>
      <c r="F55" s="116" t="str">
        <f>+IFERROR(VLOOKUP(C55,Hoja1!$H$2:$I$45,2,0),"")</f>
        <v>Si</v>
      </c>
      <c r="G55" s="117" t="str">
        <f t="shared" si="0"/>
        <v>Existe requerimiento pero se requiere actividades  dirigidas a su mantenimiento dentro del marco de las lineas de defensa.</v>
      </c>
      <c r="I55" s="131">
        <f t="shared" si="1"/>
        <v>1</v>
      </c>
      <c r="J55" s="260"/>
    </row>
    <row r="56" spans="1:10" s="1" customFormat="1" ht="78.75" customHeight="1" x14ac:dyDescent="0.25">
      <c r="C56" s="129">
        <v>38</v>
      </c>
      <c r="D56" s="257"/>
      <c r="E56" s="115" t="str">
        <f>+IFERROR(INDEX(Hoja1!$E$2:$E$45,MATCH('Análisis Resultados'!C56,Hoja1!$H$2:$H$45,0)),"")</f>
        <v>Seguimiento a los planes de mejoramiento suscritos con instancias de control internas o externas</v>
      </c>
      <c r="F56" s="116" t="str">
        <f>+IFERROR(VLOOKUP(C56,Hoja1!$H$2:$I$45,2,0),"")</f>
        <v>Si</v>
      </c>
      <c r="G56" s="117" t="str">
        <f t="shared" si="0"/>
        <v>Existe requerimiento pero se requiere actividades  dirigidas a su mantenimiento dentro del marco de las lineas de defensa.</v>
      </c>
      <c r="I56" s="131">
        <f t="shared" si="1"/>
        <v>1</v>
      </c>
      <c r="J56" s="260"/>
    </row>
    <row r="57" spans="1:10" s="1" customFormat="1" ht="54.75" customHeight="1" x14ac:dyDescent="0.25">
      <c r="C57" s="129">
        <v>39</v>
      </c>
      <c r="D57" s="257"/>
      <c r="E57" s="115" t="str">
        <f>+IFERROR(INDEX(Hoja1!$E$2:$E$45,MATCH('Análisis Resultados'!C57,Hoja1!$H$2:$H$45,0)),"")</f>
        <v>La entidad participa en el  Comité Municipal de Auditoría?</v>
      </c>
      <c r="F57" s="116" t="str">
        <f>+IFERROR(VLOOKUP(C57,Hoja1!$H$2:$I$45,2,0),"")</f>
        <v>Si</v>
      </c>
      <c r="G57" s="117" t="str">
        <f t="shared" si="0"/>
        <v>Existe requerimiento pero se requiere actividades  dirigidas a su mantenimiento dentro del marco de las lineas de defensa.</v>
      </c>
      <c r="I57" s="131">
        <f t="shared" si="1"/>
        <v>1</v>
      </c>
      <c r="J57" s="260"/>
    </row>
    <row r="58" spans="1:10" s="1" customFormat="1" ht="68.25" customHeight="1" x14ac:dyDescent="0.25">
      <c r="C58" s="129">
        <v>40</v>
      </c>
      <c r="D58" s="257"/>
      <c r="E58" s="115" t="str">
        <f>+IFERROR(INDEX(Hoja1!$E$2:$E$45,MATCH('Análisis Resultados'!C58,Hoja1!$H$2:$H$45,0)),"")</f>
        <v>Evitar que los problemas (riesgos) obstaculicen el cumplimiento de los objetivos.</v>
      </c>
      <c r="F58" s="116" t="str">
        <f>+IFERROR(VLOOKUP(C58,Hoja1!$H$2:$I$45,2,0),"")</f>
        <v>Si</v>
      </c>
      <c r="G58" s="117" t="str">
        <f t="shared" si="0"/>
        <v>Existe requerimiento pero se requiere actividades  dirigidas a su mantenimiento dentro del marco de las lineas de defensa.</v>
      </c>
      <c r="I58" s="131">
        <f t="shared" si="1"/>
        <v>1</v>
      </c>
      <c r="J58" s="260"/>
    </row>
    <row r="59" spans="1:10" s="1" customFormat="1" ht="45" customHeight="1" x14ac:dyDescent="0.25">
      <c r="C59" s="129">
        <v>41</v>
      </c>
      <c r="D59" s="257"/>
      <c r="E59" s="115" t="str">
        <f>+IFERROR(INDEX(Hoja1!$E$2:$E$45,MATCH('Análisis Resultados'!C59,Hoja1!$H$2:$H$45,0)),"")</f>
        <v>Controlar los puntos críticos en los procesos.</v>
      </c>
      <c r="F59" s="116" t="str">
        <f>+IFERROR(VLOOKUP(C59,Hoja1!$H$2:$I$45,2,0),"")</f>
        <v>Si</v>
      </c>
      <c r="G59" s="117" t="str">
        <f t="shared" si="0"/>
        <v>Existe requerimiento pero se requiere actividades  dirigidas a su mantenimiento dentro del marco de las lineas de defensa.</v>
      </c>
      <c r="I59" s="131">
        <f t="shared" si="1"/>
        <v>1</v>
      </c>
      <c r="J59" s="260"/>
    </row>
    <row r="60" spans="1:10" s="1" customFormat="1" ht="51.75" customHeight="1" x14ac:dyDescent="0.25">
      <c r="C60" s="129">
        <v>42</v>
      </c>
      <c r="D60" s="257"/>
      <c r="E60" s="115" t="str">
        <f>+IFERROR(INDEX(Hoja1!$E$2:$E$45,MATCH('Análisis Resultados'!C60,Hoja1!$H$2:$H$45,0)),"")</f>
        <v>Diseñar acciones adecuadas para controlar los problemas que afectan el cumplimiento de las metas y objetivos institucionales (riesgos).</v>
      </c>
      <c r="F60" s="116" t="str">
        <f>+IFERROR(VLOOKUP(C60,Hoja1!$H$2:$I$45,2,0),"")</f>
        <v>Si</v>
      </c>
      <c r="G60" s="117" t="str">
        <f t="shared" si="0"/>
        <v>Existe requerimiento pero se requiere actividades  dirigidas a su mantenimiento dentro del marco de las lineas de defensa.</v>
      </c>
      <c r="I60" s="131">
        <f t="shared" si="1"/>
        <v>1</v>
      </c>
      <c r="J60" s="260"/>
    </row>
    <row r="61" spans="1:10" s="1" customFormat="1" ht="84" customHeight="1" x14ac:dyDescent="0.25">
      <c r="C61" s="129">
        <v>43</v>
      </c>
      <c r="D61" s="257"/>
      <c r="E61" s="115" t="str">
        <f>+IFERROR(INDEX(Hoja1!$E$2:$E$45,MATCH('Análisis Resultados'!C61,Hoja1!$H$2:$H$45,0)),"")</f>
        <v>Ejecutar las acciones de acuerdo a como se diseñaron previamente.</v>
      </c>
      <c r="F61" s="116" t="str">
        <f>+IFERROR(VLOOKUP(C61,Hoja1!$H$2:$I$45,2,0),"")</f>
        <v>Si</v>
      </c>
      <c r="G61" s="117" t="str">
        <f t="shared" si="0"/>
        <v>Existe requerimiento pero se requiere actividades  dirigidas a su mantenimiento dentro del marco de las lineas de defensa.</v>
      </c>
      <c r="I61" s="131">
        <f t="shared" si="1"/>
        <v>1</v>
      </c>
      <c r="J61" s="260"/>
    </row>
    <row r="62" spans="1:10" s="1" customFormat="1" ht="60" customHeight="1" thickBot="1" x14ac:dyDescent="0.3">
      <c r="C62" s="129">
        <v>44</v>
      </c>
      <c r="D62" s="258"/>
      <c r="E62" s="118" t="str">
        <f>+IFERROR(INDEX(Hoja1!$E$2:$E$45,MATCH('Análisis Resultados'!C62,Hoja1!$H$2:$H$45,0)),"")</f>
        <v>No se gestionan los problemas que afectan el cumplimiento de las funciones y objetivos institucionales(riesgos).</v>
      </c>
      <c r="F62" s="119" t="str">
        <f>+IFERROR(VLOOKUP(C62,Hoja1!$H$2:$I$45,2,0),"")</f>
        <v>Si</v>
      </c>
      <c r="G62" s="120" t="str">
        <f t="shared" si="0"/>
        <v>Existe requerimiento pero se requiere actividades  dirigidas a su mantenimiento dentro del marco de las lineas de defensa.</v>
      </c>
      <c r="I62" s="132">
        <f t="shared" si="1"/>
        <v>1</v>
      </c>
      <c r="J62" s="261"/>
    </row>
    <row r="63" spans="1:10" s="1" customFormat="1" x14ac:dyDescent="0.25"/>
    <row r="64" spans="1:10" s="1" customFormat="1" x14ac:dyDescent="0.25"/>
    <row r="65" spans="1:2" s="1" customFormat="1" x14ac:dyDescent="0.25"/>
    <row r="66" spans="1:2" s="1" customFormat="1" x14ac:dyDescent="0.25"/>
    <row r="67" spans="1:2" s="1" customFormat="1" x14ac:dyDescent="0.25"/>
    <row r="68" spans="1:2" s="1" customFormat="1" x14ac:dyDescent="0.25"/>
    <row r="69" spans="1:2" s="1" customFormat="1" x14ac:dyDescent="0.25"/>
    <row r="70" spans="1:2" s="1" customFormat="1" x14ac:dyDescent="0.25"/>
    <row r="71" spans="1:2" x14ac:dyDescent="0.25">
      <c r="A71" s="1"/>
      <c r="B71" s="1"/>
    </row>
    <row r="72" spans="1:2" x14ac:dyDescent="0.25">
      <c r="A72" s="1"/>
      <c r="B72" s="1"/>
    </row>
    <row r="73" spans="1:2" x14ac:dyDescent="0.25">
      <c r="A73" s="1"/>
      <c r="B73" s="1"/>
    </row>
    <row r="74" spans="1:2" x14ac:dyDescent="0.25">
      <c r="A74" s="1"/>
      <c r="B74" s="1"/>
    </row>
  </sheetData>
  <sheetProtection algorithmName="SHA-512" hashValue="2c/K7BVeA+JOjsvnu2HILGfEHHcx80UTyQTucJ5c70tus45UaD3gXdqjB7xLC6LydtmfT9VN5B07LstuhHP+UQ==" saltValue="5+Ylqwr6SZ9tvbSyY2m3gQ==" spinCount="100000" sheet="1" objects="1" scenarios="1" formatCells="0"/>
  <mergeCells count="25">
    <mergeCell ref="C7:K7"/>
    <mergeCell ref="C9:D9"/>
    <mergeCell ref="E9:F9"/>
    <mergeCell ref="C10:D10"/>
    <mergeCell ref="E10:F10"/>
    <mergeCell ref="C11:D11"/>
    <mergeCell ref="E11:F11"/>
    <mergeCell ref="J17:J18"/>
    <mergeCell ref="D19:D30"/>
    <mergeCell ref="C17:C18"/>
    <mergeCell ref="D17:E17"/>
    <mergeCell ref="F17:F18"/>
    <mergeCell ref="G17:G18"/>
    <mergeCell ref="I17:I18"/>
    <mergeCell ref="J31:J40"/>
    <mergeCell ref="C12:D12"/>
    <mergeCell ref="E12:F12"/>
    <mergeCell ref="J19:J30"/>
    <mergeCell ref="D53:D62"/>
    <mergeCell ref="J53:J62"/>
    <mergeCell ref="D46:D52"/>
    <mergeCell ref="J46:J52"/>
    <mergeCell ref="D41:D45"/>
    <mergeCell ref="J41:J45"/>
    <mergeCell ref="D31:D40"/>
  </mergeCells>
  <conditionalFormatting sqref="I19:I62">
    <cfRule type="cellIs" dxfId="16" priority="4" operator="between">
      <formula>0.75</formula>
      <formula>1</formula>
    </cfRule>
    <cfRule type="cellIs" dxfId="15" priority="5" operator="between">
      <formula>0.5</formula>
      <formula>0.74</formula>
    </cfRule>
    <cfRule type="cellIs" dxfId="14" priority="6" operator="between">
      <formula>0</formula>
      <formula>0.49</formula>
    </cfRule>
  </conditionalFormatting>
  <conditionalFormatting sqref="J19:J31 J41 J46 J53">
    <cfRule type="cellIs" priority="1" operator="between">
      <formula>0.75</formula>
      <formula>1</formula>
    </cfRule>
    <cfRule type="cellIs" dxfId="13" priority="2" operator="between">
      <formula>0.5</formula>
      <formula>0.75</formula>
    </cfRule>
    <cfRule type="cellIs" dxfId="12" priority="3" operator="between">
      <formula>0</formula>
      <formula>0.49</formula>
    </cfRule>
  </conditionalFormatting>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containsText" priority="7" operator="containsText" id="{B5EC0094-D2B5-49BB-B6F9-E988382E1263}">
            <xm:f>NOT(ISERROR(SEARCH($E$12,G19)))</xm:f>
            <xm:f>$E$12</xm:f>
            <x14:dxf>
              <fill>
                <patternFill>
                  <bgColor rgb="FFFF0000"/>
                </patternFill>
              </fill>
            </x14:dxf>
          </x14:cfRule>
          <x14:cfRule type="containsText" priority="8" operator="containsText" id="{D802A135-824D-43A0-835B-FE63514274DE}">
            <xm:f>NOT(ISERROR(SEARCH($E$11,G19)))</xm:f>
            <xm:f>$E$11</xm:f>
            <x14:dxf>
              <fill>
                <patternFill>
                  <bgColor rgb="FFFFFF00"/>
                </patternFill>
              </fill>
            </x14:dxf>
          </x14:cfRule>
          <x14:cfRule type="containsText" priority="9" operator="containsText" id="{D7844022-1CB2-4683-9B09-8D3EA8F0FDED}">
            <xm:f>NOT(ISERROR(SEARCH($E$10,G19)))</xm:f>
            <xm:f>$E$10</xm:f>
            <x14:dxf>
              <fill>
                <patternFill>
                  <bgColor rgb="FF00B050"/>
                </patternFill>
              </fill>
            </x14:dxf>
          </x14:cfRule>
          <xm:sqref>G19:G62</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Q41"/>
  <sheetViews>
    <sheetView tabSelected="1" zoomScale="64" zoomScaleNormal="64" workbookViewId="0">
      <selection activeCell="I30" sqref="I30:M30"/>
    </sheetView>
  </sheetViews>
  <sheetFormatPr baseColWidth="10" defaultColWidth="11.42578125" defaultRowHeight="15" x14ac:dyDescent="0.25"/>
  <cols>
    <col min="1" max="1" width="4.42578125" customWidth="1"/>
    <col min="3" max="3" width="35.5703125" customWidth="1"/>
    <col min="4" max="4" width="13" customWidth="1"/>
    <col min="5" max="5" width="43.28515625" customWidth="1"/>
    <col min="7" max="7" width="33.85546875" customWidth="1"/>
    <col min="9" max="9" width="92.28515625" customWidth="1"/>
    <col min="13" max="13" width="29" customWidth="1"/>
  </cols>
  <sheetData>
    <row r="1" spans="1:17" s="1" customFormat="1" x14ac:dyDescent="0.25"/>
    <row r="2" spans="1:17" ht="15.75" thickBot="1" x14ac:dyDescent="0.3">
      <c r="A2" s="1"/>
      <c r="B2" s="1"/>
      <c r="C2" s="1"/>
      <c r="D2" s="1"/>
      <c r="E2" s="1"/>
      <c r="F2" s="1"/>
      <c r="G2" s="1"/>
      <c r="H2" s="1"/>
      <c r="I2" s="1"/>
      <c r="J2" s="1"/>
      <c r="K2" s="1"/>
      <c r="L2" s="1"/>
      <c r="M2" s="1"/>
      <c r="N2" s="1"/>
      <c r="O2" s="1"/>
      <c r="P2" s="1"/>
      <c r="Q2" s="1"/>
    </row>
    <row r="3" spans="1:17" ht="15.75" thickTop="1" x14ac:dyDescent="0.25">
      <c r="A3" s="1"/>
      <c r="B3" s="2"/>
      <c r="C3" s="3"/>
      <c r="D3" s="3"/>
      <c r="E3" s="3"/>
      <c r="F3" s="3"/>
      <c r="G3" s="3"/>
      <c r="H3" s="3"/>
      <c r="I3" s="3"/>
      <c r="J3" s="3"/>
      <c r="K3" s="3"/>
      <c r="L3" s="3"/>
      <c r="M3" s="3"/>
      <c r="N3" s="3"/>
      <c r="O3" s="3"/>
      <c r="P3" s="4"/>
      <c r="Q3" s="1"/>
    </row>
    <row r="4" spans="1:17" ht="16.5" x14ac:dyDescent="0.3">
      <c r="A4" s="1"/>
      <c r="B4" s="5"/>
      <c r="C4" s="1"/>
      <c r="D4" s="1"/>
      <c r="E4" s="289" t="s">
        <v>124</v>
      </c>
      <c r="F4" s="291"/>
      <c r="G4" s="291"/>
      <c r="H4" s="291"/>
      <c r="I4" s="291"/>
      <c r="J4" s="291"/>
      <c r="K4" s="291"/>
      <c r="L4" s="291"/>
      <c r="M4" s="291"/>
      <c r="N4" s="6"/>
      <c r="O4" s="6"/>
      <c r="P4" s="7"/>
      <c r="Q4" s="1"/>
    </row>
    <row r="5" spans="1:17" ht="45.75" customHeight="1" x14ac:dyDescent="0.3">
      <c r="A5" s="1"/>
      <c r="B5" s="5"/>
      <c r="C5" s="1"/>
      <c r="D5" s="1"/>
      <c r="E5" s="290"/>
      <c r="F5" s="291"/>
      <c r="G5" s="291"/>
      <c r="H5" s="291"/>
      <c r="I5" s="291"/>
      <c r="J5" s="291"/>
      <c r="K5" s="291"/>
      <c r="L5" s="291"/>
      <c r="M5" s="291"/>
      <c r="N5" s="6"/>
      <c r="O5" s="6"/>
      <c r="P5" s="7"/>
      <c r="Q5" s="1"/>
    </row>
    <row r="6" spans="1:17" ht="66.75" customHeight="1" x14ac:dyDescent="0.3">
      <c r="A6" s="1"/>
      <c r="B6" s="5"/>
      <c r="C6" s="1"/>
      <c r="D6" s="1"/>
      <c r="E6" s="88" t="s">
        <v>125</v>
      </c>
      <c r="F6" s="292"/>
      <c r="G6" s="293"/>
      <c r="H6" s="293"/>
      <c r="I6" s="293"/>
      <c r="J6" s="293"/>
      <c r="K6" s="293"/>
      <c r="L6" s="293"/>
      <c r="M6" s="294"/>
      <c r="N6" s="8"/>
      <c r="O6" s="8"/>
      <c r="P6" s="7"/>
      <c r="Q6" s="1"/>
    </row>
    <row r="7" spans="1:17" ht="17.25" thickBot="1" x14ac:dyDescent="0.35">
      <c r="A7" s="1"/>
      <c r="B7" s="5"/>
      <c r="C7" s="1"/>
      <c r="D7" s="1"/>
      <c r="E7" s="9"/>
      <c r="F7" s="8"/>
      <c r="G7" s="8"/>
      <c r="H7" s="8"/>
      <c r="I7" s="8"/>
      <c r="J7" s="8"/>
      <c r="K7" s="8"/>
      <c r="L7" s="8"/>
      <c r="M7" s="1"/>
      <c r="N7" s="1"/>
      <c r="O7" s="1"/>
      <c r="P7" s="7"/>
      <c r="Q7" s="1"/>
    </row>
    <row r="8" spans="1:17" ht="97.5" customHeight="1" thickBot="1" x14ac:dyDescent="0.3">
      <c r="A8" s="1"/>
      <c r="B8" s="5"/>
      <c r="C8" s="1"/>
      <c r="D8" s="1"/>
      <c r="E8" s="1"/>
      <c r="F8" s="1"/>
      <c r="G8" s="1"/>
      <c r="H8" s="1"/>
      <c r="I8" s="295" t="s">
        <v>126</v>
      </c>
      <c r="J8" s="296"/>
      <c r="K8" s="297"/>
      <c r="L8" s="1"/>
      <c r="M8" s="137">
        <f>+AVERAGE(G26,G28,G30,G32,G34)</f>
        <v>0.97166666666666668</v>
      </c>
      <c r="N8" s="10"/>
      <c r="O8" s="10"/>
      <c r="P8" s="7"/>
      <c r="Q8" s="1"/>
    </row>
    <row r="9" spans="1:17" ht="15.75" x14ac:dyDescent="0.25">
      <c r="A9" s="1"/>
      <c r="B9" s="5"/>
      <c r="C9" s="1"/>
      <c r="D9" s="1"/>
      <c r="E9" s="1"/>
      <c r="F9" s="1"/>
      <c r="G9" s="1"/>
      <c r="H9" s="1"/>
      <c r="I9" s="1"/>
      <c r="J9" s="1"/>
      <c r="K9" s="1"/>
      <c r="L9" s="1"/>
      <c r="M9" s="11"/>
      <c r="N9" s="11"/>
      <c r="O9" s="11"/>
      <c r="P9" s="7"/>
      <c r="Q9" s="1"/>
    </row>
    <row r="10" spans="1:17" x14ac:dyDescent="0.25">
      <c r="A10" s="1"/>
      <c r="B10" s="5"/>
      <c r="C10" s="1"/>
      <c r="D10" s="1"/>
      <c r="E10" s="1"/>
      <c r="F10" s="1"/>
      <c r="G10" s="1"/>
      <c r="H10" s="1"/>
      <c r="I10" s="1"/>
      <c r="J10" s="1"/>
      <c r="K10" s="1"/>
      <c r="L10" s="1"/>
      <c r="M10" s="1"/>
      <c r="N10" s="1"/>
      <c r="O10" s="1"/>
      <c r="P10" s="7"/>
      <c r="Q10" s="1"/>
    </row>
    <row r="11" spans="1:17" x14ac:dyDescent="0.25">
      <c r="A11" s="1"/>
      <c r="B11" s="5"/>
      <c r="C11" s="1"/>
      <c r="D11" s="1"/>
      <c r="E11" s="1"/>
      <c r="F11" s="1"/>
      <c r="G11" s="1"/>
      <c r="H11" s="1"/>
      <c r="I11" s="1"/>
      <c r="J11" s="1"/>
      <c r="K11" s="1"/>
      <c r="L11" s="1"/>
      <c r="M11" s="1"/>
      <c r="N11" s="1"/>
      <c r="O11" s="1"/>
      <c r="P11" s="7"/>
      <c r="Q11" s="1"/>
    </row>
    <row r="12" spans="1:17" x14ac:dyDescent="0.25">
      <c r="A12" s="1"/>
      <c r="B12" s="5"/>
      <c r="C12" s="1"/>
      <c r="D12" s="1"/>
      <c r="E12" s="1"/>
      <c r="F12" s="1"/>
      <c r="G12" s="1"/>
      <c r="H12" s="1"/>
      <c r="I12" s="1"/>
      <c r="J12" s="1"/>
      <c r="K12" s="1"/>
      <c r="L12" s="1"/>
      <c r="M12" s="1"/>
      <c r="N12" s="1"/>
      <c r="O12" s="1"/>
      <c r="P12" s="7"/>
      <c r="Q12" s="1"/>
    </row>
    <row r="13" spans="1:17" x14ac:dyDescent="0.25">
      <c r="A13" s="1"/>
      <c r="B13" s="5"/>
      <c r="C13" s="1"/>
      <c r="D13" s="1"/>
      <c r="E13" s="1"/>
      <c r="F13" s="1"/>
      <c r="G13" s="1"/>
      <c r="H13" s="1"/>
      <c r="I13" s="1"/>
      <c r="J13" s="1"/>
      <c r="K13" s="1"/>
      <c r="L13" s="1"/>
      <c r="M13" s="1"/>
      <c r="N13" s="1"/>
      <c r="O13" s="1"/>
      <c r="P13" s="7"/>
      <c r="Q13" s="1"/>
    </row>
    <row r="14" spans="1:17" x14ac:dyDescent="0.25">
      <c r="A14" s="1"/>
      <c r="B14" s="5"/>
      <c r="C14" s="1"/>
      <c r="D14" s="1"/>
      <c r="E14" s="1"/>
      <c r="F14" s="1"/>
      <c r="G14" s="1"/>
      <c r="H14" s="1"/>
      <c r="I14" s="1"/>
      <c r="J14" s="1"/>
      <c r="K14" s="1"/>
      <c r="L14" s="1"/>
      <c r="M14" s="1"/>
      <c r="N14" s="1"/>
      <c r="O14" s="1"/>
      <c r="P14" s="7"/>
      <c r="Q14" s="1"/>
    </row>
    <row r="15" spans="1:17" x14ac:dyDescent="0.25">
      <c r="A15" s="1"/>
      <c r="B15" s="5"/>
      <c r="C15" s="1"/>
      <c r="D15" s="1"/>
      <c r="E15" s="1"/>
      <c r="F15" s="1"/>
      <c r="G15" s="1"/>
      <c r="H15" s="1"/>
      <c r="I15" s="1"/>
      <c r="J15" s="1"/>
      <c r="K15" s="1"/>
      <c r="L15" s="1"/>
      <c r="M15" s="1"/>
      <c r="N15" s="1"/>
      <c r="O15" s="1"/>
      <c r="P15" s="7"/>
      <c r="Q15" s="1"/>
    </row>
    <row r="16" spans="1:17" x14ac:dyDescent="0.25">
      <c r="A16" s="1"/>
      <c r="B16" s="5"/>
      <c r="C16" s="1"/>
      <c r="D16" s="1"/>
      <c r="E16" s="1"/>
      <c r="F16" s="1"/>
      <c r="G16" s="1"/>
      <c r="H16" s="1"/>
      <c r="I16" s="1"/>
      <c r="J16" s="1"/>
      <c r="K16" s="1"/>
      <c r="L16" s="1"/>
      <c r="M16" s="1"/>
      <c r="N16" s="1"/>
      <c r="O16" s="1"/>
      <c r="P16" s="7"/>
      <c r="Q16" s="1"/>
    </row>
    <row r="17" spans="1:17" x14ac:dyDescent="0.25">
      <c r="A17" s="1"/>
      <c r="B17" s="5"/>
      <c r="C17" s="1"/>
      <c r="D17" s="1"/>
      <c r="E17" s="1"/>
      <c r="F17" s="1"/>
      <c r="G17" s="1"/>
      <c r="H17" s="1"/>
      <c r="I17" s="1"/>
      <c r="J17" s="1"/>
      <c r="K17" s="1"/>
      <c r="L17" s="1"/>
      <c r="M17" s="1"/>
      <c r="N17" s="1"/>
      <c r="O17" s="1"/>
      <c r="P17" s="7"/>
      <c r="Q17" s="1"/>
    </row>
    <row r="18" spans="1:17" ht="23.25" x14ac:dyDescent="0.25">
      <c r="A18" s="1"/>
      <c r="B18" s="5"/>
      <c r="C18" s="298" t="s">
        <v>127</v>
      </c>
      <c r="D18" s="299"/>
      <c r="E18" s="299"/>
      <c r="F18" s="299"/>
      <c r="G18" s="299"/>
      <c r="H18" s="299"/>
      <c r="I18" s="299"/>
      <c r="J18" s="299"/>
      <c r="K18" s="299"/>
      <c r="L18" s="299"/>
      <c r="M18" s="300"/>
      <c r="N18" s="12"/>
      <c r="O18" s="12"/>
      <c r="P18" s="7"/>
      <c r="Q18" s="1"/>
    </row>
    <row r="19" spans="1:17" ht="16.5" thickBot="1" x14ac:dyDescent="0.3">
      <c r="A19" s="1"/>
      <c r="B19" s="5"/>
      <c r="C19" s="13"/>
      <c r="D19" s="13"/>
      <c r="E19" s="13"/>
      <c r="F19" s="13"/>
      <c r="G19" s="13"/>
      <c r="H19" s="13"/>
      <c r="I19" s="13"/>
      <c r="J19" s="13"/>
      <c r="K19" s="13"/>
      <c r="L19" s="13"/>
      <c r="M19" s="13"/>
      <c r="N19" s="14"/>
      <c r="O19" s="14"/>
      <c r="P19" s="7"/>
      <c r="Q19" s="1"/>
    </row>
    <row r="20" spans="1:17" ht="150" customHeight="1" x14ac:dyDescent="0.25">
      <c r="A20" s="1"/>
      <c r="B20" s="5"/>
      <c r="C20" s="301" t="s">
        <v>128</v>
      </c>
      <c r="D20" s="302"/>
      <c r="E20" s="140" t="s">
        <v>76</v>
      </c>
      <c r="F20" s="303" t="s">
        <v>236</v>
      </c>
      <c r="G20" s="303"/>
      <c r="H20" s="303"/>
      <c r="I20" s="303"/>
      <c r="J20" s="303"/>
      <c r="K20" s="303"/>
      <c r="L20" s="303"/>
      <c r="M20" s="304"/>
      <c r="N20" s="14"/>
      <c r="O20" s="14"/>
      <c r="P20" s="7"/>
      <c r="Q20" s="1"/>
    </row>
    <row r="21" spans="1:17" ht="126.75" customHeight="1" x14ac:dyDescent="0.25">
      <c r="A21" s="1"/>
      <c r="B21" s="5"/>
      <c r="C21" s="285" t="s">
        <v>129</v>
      </c>
      <c r="D21" s="286"/>
      <c r="E21" s="141" t="s">
        <v>39</v>
      </c>
      <c r="F21" s="305" t="s">
        <v>235</v>
      </c>
      <c r="G21" s="305"/>
      <c r="H21" s="305"/>
      <c r="I21" s="305"/>
      <c r="J21" s="305"/>
      <c r="K21" s="305"/>
      <c r="L21" s="305"/>
      <c r="M21" s="306"/>
      <c r="N21" s="14"/>
      <c r="O21" s="14"/>
      <c r="P21" s="7"/>
      <c r="Q21" s="1"/>
    </row>
    <row r="22" spans="1:17" ht="151.5" customHeight="1" thickBot="1" x14ac:dyDescent="0.3">
      <c r="A22" s="1"/>
      <c r="B22" s="5"/>
      <c r="C22" s="287" t="s">
        <v>130</v>
      </c>
      <c r="D22" s="288"/>
      <c r="E22" s="142" t="s">
        <v>36</v>
      </c>
      <c r="F22" s="307" t="s">
        <v>237</v>
      </c>
      <c r="G22" s="307"/>
      <c r="H22" s="307"/>
      <c r="I22" s="307"/>
      <c r="J22" s="307"/>
      <c r="K22" s="307"/>
      <c r="L22" s="307"/>
      <c r="M22" s="308"/>
      <c r="N22" s="14"/>
      <c r="O22" s="14"/>
      <c r="P22" s="7"/>
      <c r="Q22" s="1"/>
    </row>
    <row r="23" spans="1:17" x14ac:dyDescent="0.25">
      <c r="A23" s="1"/>
      <c r="B23" s="5"/>
      <c r="C23" s="1"/>
      <c r="D23" s="1"/>
      <c r="E23" s="1"/>
      <c r="F23" s="1"/>
      <c r="G23" s="15"/>
      <c r="H23" s="1"/>
      <c r="I23" s="1"/>
      <c r="J23" s="1"/>
      <c r="K23" s="1"/>
      <c r="L23" s="1"/>
      <c r="M23" s="1"/>
      <c r="N23" s="1"/>
      <c r="O23" s="1"/>
      <c r="P23" s="7"/>
      <c r="Q23" s="1"/>
    </row>
    <row r="24" spans="1:17" ht="78.75" x14ac:dyDescent="0.25">
      <c r="A24" s="1"/>
      <c r="B24" s="5"/>
      <c r="C24" s="91" t="s">
        <v>131</v>
      </c>
      <c r="D24" s="92"/>
      <c r="E24" s="91" t="s">
        <v>132</v>
      </c>
      <c r="F24" s="92"/>
      <c r="G24" s="91" t="s">
        <v>133</v>
      </c>
      <c r="H24" s="92"/>
      <c r="I24" s="315" t="s">
        <v>134</v>
      </c>
      <c r="J24" s="315"/>
      <c r="K24" s="315"/>
      <c r="L24" s="315"/>
      <c r="M24" s="315"/>
      <c r="N24" s="30"/>
      <c r="O24" s="30"/>
      <c r="P24" s="7"/>
      <c r="Q24" s="16"/>
    </row>
    <row r="25" spans="1:17" ht="13.5" customHeight="1" thickBot="1" x14ac:dyDescent="0.3">
      <c r="A25" s="1"/>
      <c r="B25" s="5"/>
      <c r="C25" s="29"/>
      <c r="I25" s="319"/>
      <c r="J25" s="319"/>
      <c r="K25" s="319"/>
      <c r="L25" s="319"/>
      <c r="M25" s="319"/>
      <c r="N25" s="31"/>
      <c r="O25" s="31"/>
      <c r="P25" s="7"/>
      <c r="Q25" s="1"/>
    </row>
    <row r="26" spans="1:17" ht="183.75" customHeight="1" thickBot="1" x14ac:dyDescent="0.3">
      <c r="A26" s="1"/>
      <c r="B26" s="5"/>
      <c r="C26" s="82" t="s">
        <v>32</v>
      </c>
      <c r="D26" s="17"/>
      <c r="E26" s="138" t="str">
        <f>+IF(Hoja1!K2&gt;=0.5,"Si","No")</f>
        <v>Si</v>
      </c>
      <c r="F26" s="18"/>
      <c r="G26" s="139">
        <f>+Hoja1!K2</f>
        <v>0.95833333333333337</v>
      </c>
      <c r="H26" s="18"/>
      <c r="I26" s="316" t="s">
        <v>238</v>
      </c>
      <c r="J26" s="317"/>
      <c r="K26" s="317"/>
      <c r="L26" s="317"/>
      <c r="M26" s="318"/>
      <c r="N26" s="32"/>
      <c r="O26" s="33"/>
      <c r="P26" s="19"/>
      <c r="Q26" s="20"/>
    </row>
    <row r="27" spans="1:17" ht="27" thickBot="1" x14ac:dyDescent="0.45">
      <c r="A27" s="1"/>
      <c r="B27" s="5"/>
      <c r="C27" s="83"/>
      <c r="E27" s="90"/>
      <c r="G27" s="21"/>
      <c r="I27" s="320"/>
      <c r="J27" s="320"/>
      <c r="K27" s="320"/>
      <c r="L27" s="320"/>
      <c r="M27" s="320"/>
      <c r="N27" s="34"/>
      <c r="O27" s="34"/>
      <c r="P27" s="7"/>
      <c r="Q27" s="1"/>
    </row>
    <row r="28" spans="1:17" ht="159" customHeight="1" thickBot="1" x14ac:dyDescent="0.3">
      <c r="A28" s="1"/>
      <c r="B28" s="5"/>
      <c r="C28" s="84" t="s">
        <v>135</v>
      </c>
      <c r="D28" s="17"/>
      <c r="E28" s="138" t="str">
        <f>+IF(Hoja1!K14&gt;=0.5,"Si","No")</f>
        <v>Si</v>
      </c>
      <c r="G28" s="139">
        <f>+Hoja1!K14</f>
        <v>1</v>
      </c>
      <c r="I28" s="312" t="s">
        <v>242</v>
      </c>
      <c r="J28" s="313"/>
      <c r="K28" s="313"/>
      <c r="L28" s="313"/>
      <c r="M28" s="314"/>
      <c r="N28" s="32"/>
      <c r="O28" s="32"/>
      <c r="P28" s="7"/>
      <c r="Q28" s="1"/>
    </row>
    <row r="29" spans="1:17" ht="27" thickBot="1" x14ac:dyDescent="0.45">
      <c r="A29" s="1"/>
      <c r="B29" s="5"/>
      <c r="C29" s="83"/>
      <c r="E29" s="90"/>
      <c r="G29" s="21"/>
      <c r="I29" s="320"/>
      <c r="J29" s="320"/>
      <c r="K29" s="320"/>
      <c r="L29" s="320"/>
      <c r="M29" s="320"/>
      <c r="N29" s="34"/>
      <c r="O29" s="34"/>
      <c r="P29" s="7"/>
      <c r="Q29" s="1"/>
    </row>
    <row r="30" spans="1:17" ht="154.5" customHeight="1" thickBot="1" x14ac:dyDescent="0.3">
      <c r="A30" s="1"/>
      <c r="B30" s="5"/>
      <c r="C30" s="85" t="s">
        <v>136</v>
      </c>
      <c r="D30" s="17"/>
      <c r="E30" s="138" t="str">
        <f>+IF(Hoja1!K24&gt;=0.5,"Si","No")</f>
        <v>Si</v>
      </c>
      <c r="G30" s="139">
        <f>+Hoja1!K24</f>
        <v>1</v>
      </c>
      <c r="I30" s="309" t="s">
        <v>241</v>
      </c>
      <c r="J30" s="310"/>
      <c r="K30" s="310"/>
      <c r="L30" s="310"/>
      <c r="M30" s="311"/>
      <c r="N30" s="32"/>
      <c r="O30" s="32"/>
      <c r="P30" s="7"/>
      <c r="Q30" s="1"/>
    </row>
    <row r="31" spans="1:17" ht="27" thickBot="1" x14ac:dyDescent="0.45">
      <c r="A31" s="1"/>
      <c r="B31" s="5"/>
      <c r="C31" s="83"/>
      <c r="E31" s="90"/>
      <c r="G31" s="21"/>
      <c r="I31" s="320"/>
      <c r="J31" s="320"/>
      <c r="K31" s="320"/>
      <c r="L31" s="320"/>
      <c r="M31" s="320"/>
      <c r="N31" s="34"/>
      <c r="O31" s="34"/>
      <c r="P31" s="7"/>
      <c r="Q31" s="1"/>
    </row>
    <row r="32" spans="1:17" ht="150.75" customHeight="1" thickBot="1" x14ac:dyDescent="0.3">
      <c r="A32" s="1"/>
      <c r="B32" s="5"/>
      <c r="C32" s="86" t="s">
        <v>87</v>
      </c>
      <c r="D32" s="17"/>
      <c r="E32" s="138" t="str">
        <f>+IF(Hoja1!K29&gt;=0.5,"Si","No")</f>
        <v>Si</v>
      </c>
      <c r="G32" s="139">
        <f>+Hoja1!K29</f>
        <v>1</v>
      </c>
      <c r="I32" s="312" t="s">
        <v>240</v>
      </c>
      <c r="J32" s="313"/>
      <c r="K32" s="313"/>
      <c r="L32" s="313"/>
      <c r="M32" s="314"/>
      <c r="N32" s="32"/>
      <c r="O32" s="32"/>
      <c r="P32" s="7"/>
      <c r="Q32" s="1"/>
    </row>
    <row r="33" spans="1:17" ht="27" thickBot="1" x14ac:dyDescent="0.45">
      <c r="A33" s="1"/>
      <c r="B33" s="5"/>
      <c r="C33" s="83"/>
      <c r="E33" s="90"/>
      <c r="G33" s="21"/>
      <c r="I33" s="320"/>
      <c r="J33" s="320"/>
      <c r="K33" s="320"/>
      <c r="L33" s="320"/>
      <c r="M33" s="320"/>
      <c r="N33" s="34"/>
      <c r="O33" s="34"/>
      <c r="P33" s="7"/>
      <c r="Q33" s="1"/>
    </row>
    <row r="34" spans="1:17" ht="164.25" customHeight="1" thickBot="1" x14ac:dyDescent="0.3">
      <c r="A34" s="1"/>
      <c r="B34" s="5"/>
      <c r="C34" s="87" t="s">
        <v>137</v>
      </c>
      <c r="D34" s="17"/>
      <c r="E34" s="89" t="str">
        <f>+IF(Hoja1!K36&gt;=0.5,"Si","No")</f>
        <v>Si</v>
      </c>
      <c r="G34" s="139">
        <f>+Hoja1!K36</f>
        <v>0.9</v>
      </c>
      <c r="I34" s="309" t="s">
        <v>239</v>
      </c>
      <c r="J34" s="310"/>
      <c r="K34" s="310"/>
      <c r="L34" s="310"/>
      <c r="M34" s="311"/>
      <c r="N34" s="32"/>
      <c r="O34" s="32"/>
      <c r="P34" s="7"/>
      <c r="Q34" s="1"/>
    </row>
    <row r="35" spans="1:17" ht="15.75" x14ac:dyDescent="0.25">
      <c r="A35" s="1"/>
      <c r="B35" s="5"/>
      <c r="C35" s="22"/>
      <c r="D35" s="22"/>
      <c r="E35" s="14"/>
      <c r="F35" s="1"/>
      <c r="G35" s="1"/>
      <c r="H35" s="1"/>
      <c r="I35" s="1"/>
      <c r="J35" s="1"/>
      <c r="K35" s="1"/>
      <c r="L35" s="1"/>
      <c r="M35" s="23"/>
      <c r="N35" s="23"/>
      <c r="O35" s="23"/>
      <c r="P35" s="7"/>
      <c r="Q35" s="1"/>
    </row>
    <row r="36" spans="1:17" ht="15.75" x14ac:dyDescent="0.25">
      <c r="A36" s="1"/>
      <c r="B36" s="5"/>
      <c r="C36" s="24"/>
      <c r="D36" s="22"/>
      <c r="E36" s="14"/>
      <c r="F36" s="1"/>
      <c r="G36" s="1"/>
      <c r="H36" s="1"/>
      <c r="I36" s="1"/>
      <c r="J36" s="1"/>
      <c r="K36" s="1"/>
      <c r="L36" s="1"/>
      <c r="M36" s="23"/>
      <c r="N36" s="23"/>
      <c r="O36" s="23"/>
      <c r="P36" s="7"/>
      <c r="Q36" s="1"/>
    </row>
    <row r="37" spans="1:17" x14ac:dyDescent="0.25">
      <c r="A37" s="1"/>
      <c r="B37" s="5"/>
      <c r="C37" s="25"/>
      <c r="D37" s="1"/>
      <c r="E37" s="1"/>
      <c r="F37" s="1"/>
      <c r="G37" s="1"/>
      <c r="H37" s="1"/>
      <c r="I37" s="1"/>
      <c r="J37" s="1"/>
      <c r="K37" s="1"/>
      <c r="L37" s="1"/>
      <c r="M37" s="1"/>
      <c r="N37" s="1"/>
      <c r="O37" s="1"/>
      <c r="P37" s="7"/>
      <c r="Q37" s="1"/>
    </row>
    <row r="38" spans="1:17" ht="15.75" thickBot="1" x14ac:dyDescent="0.3">
      <c r="A38" s="1"/>
      <c r="B38" s="26"/>
      <c r="C38" s="27"/>
      <c r="D38" s="27"/>
      <c r="E38" s="27"/>
      <c r="F38" s="27"/>
      <c r="G38" s="27"/>
      <c r="H38" s="27"/>
      <c r="I38" s="27"/>
      <c r="J38" s="27"/>
      <c r="K38" s="27"/>
      <c r="L38" s="27"/>
      <c r="M38" s="27"/>
      <c r="N38" s="27"/>
      <c r="O38" s="27"/>
      <c r="P38" s="28"/>
      <c r="Q38" s="1"/>
    </row>
    <row r="39" spans="1:17" ht="15.75" thickTop="1" x14ac:dyDescent="0.25">
      <c r="A39" s="1"/>
      <c r="B39" s="1"/>
      <c r="C39" s="1"/>
      <c r="D39" s="1"/>
      <c r="E39" s="1"/>
      <c r="F39" s="1"/>
      <c r="G39" s="1"/>
      <c r="H39" s="1"/>
      <c r="I39" s="1"/>
      <c r="J39" s="1"/>
      <c r="K39" s="1"/>
      <c r="L39" s="1"/>
      <c r="M39" s="1"/>
      <c r="N39" s="1"/>
      <c r="O39" s="1"/>
      <c r="P39" s="1"/>
      <c r="Q39" s="1"/>
    </row>
    <row r="40" spans="1:17" x14ac:dyDescent="0.25">
      <c r="A40" s="1"/>
      <c r="B40" s="1"/>
      <c r="C40" s="1"/>
      <c r="D40" s="1"/>
      <c r="E40" s="1"/>
      <c r="F40" s="1"/>
      <c r="G40" s="1"/>
      <c r="H40" s="1"/>
      <c r="I40" s="1"/>
      <c r="J40" s="1"/>
      <c r="K40" s="1"/>
      <c r="L40" s="1"/>
      <c r="M40" s="1"/>
      <c r="N40" s="1"/>
      <c r="O40" s="1"/>
      <c r="P40" s="1"/>
      <c r="Q40" s="1"/>
    </row>
    <row r="41" spans="1:17" x14ac:dyDescent="0.25">
      <c r="A41" s="1"/>
      <c r="B41" s="1"/>
      <c r="C41" s="1"/>
      <c r="D41" s="1"/>
      <c r="E41" s="1"/>
      <c r="F41" s="1"/>
      <c r="G41" s="1"/>
      <c r="H41" s="1"/>
      <c r="I41" s="1"/>
      <c r="J41" s="1"/>
      <c r="K41" s="1"/>
      <c r="L41" s="1"/>
      <c r="M41" s="1"/>
      <c r="N41" s="1"/>
      <c r="O41" s="1"/>
      <c r="P41" s="1"/>
      <c r="Q41" s="1"/>
    </row>
  </sheetData>
  <sheetProtection algorithmName="SHA-512" hashValue="mur5Q3PEaZxn8LXLz/eSymodHMyMcb7gr8gXWBwpSU/m7uV0ZPVWkcKOdJlg0OS/SXBXX9P/iBb2vTO1mWy68A==" saltValue="abZlHLcGIMQMz4F8z7vkTw==" spinCount="100000" sheet="1" objects="1" scenarios="1" formatCells="0" formatRows="0"/>
  <mergeCells count="22">
    <mergeCell ref="I34:M34"/>
    <mergeCell ref="I30:M30"/>
    <mergeCell ref="I32:M32"/>
    <mergeCell ref="I24:M24"/>
    <mergeCell ref="I26:M26"/>
    <mergeCell ref="I28:M28"/>
    <mergeCell ref="I25:M25"/>
    <mergeCell ref="I27:M27"/>
    <mergeCell ref="I29:M29"/>
    <mergeCell ref="I31:M31"/>
    <mergeCell ref="I33:M33"/>
    <mergeCell ref="C21:D21"/>
    <mergeCell ref="C22:D22"/>
    <mergeCell ref="E4:E5"/>
    <mergeCell ref="F4:M5"/>
    <mergeCell ref="F6:M6"/>
    <mergeCell ref="I8:K8"/>
    <mergeCell ref="C18:M18"/>
    <mergeCell ref="C20:D20"/>
    <mergeCell ref="F20:M20"/>
    <mergeCell ref="F21:M21"/>
    <mergeCell ref="F22:M22"/>
  </mergeCells>
  <conditionalFormatting sqref="G26 G28 G30 G32 G34">
    <cfRule type="cellIs" priority="4" operator="between">
      <formula>0.75</formula>
      <formula>1</formula>
    </cfRule>
    <cfRule type="cellIs" dxfId="11" priority="5" operator="between">
      <formula>0.5</formula>
      <formula>0.75</formula>
    </cfRule>
    <cfRule type="cellIs" dxfId="10" priority="6" operator="between">
      <formula>0</formula>
      <formula>0.49</formula>
    </cfRule>
    <cfRule type="cellIs" dxfId="9" priority="31" operator="between">
      <formula>0.76</formula>
      <formula>1</formula>
    </cfRule>
    <cfRule type="cellIs" dxfId="8" priority="32" operator="between">
      <formula>0.51</formula>
      <formula>0.75</formula>
    </cfRule>
    <cfRule type="cellIs" dxfId="7" priority="33" operator="between">
      <formula>0.26</formula>
      <formula>0.5</formula>
    </cfRule>
  </conditionalFormatting>
  <conditionalFormatting sqref="M8">
    <cfRule type="cellIs" dxfId="5" priority="1" operator="between">
      <formula>0.75</formula>
      <formula>1</formula>
    </cfRule>
    <cfRule type="cellIs" dxfId="4" priority="2" operator="between">
      <formula>0.5</formula>
      <formula>0.75</formula>
    </cfRule>
    <cfRule type="cellIs" dxfId="3" priority="3" operator="between">
      <formula>0</formula>
      <formula>0.49</formula>
    </cfRule>
    <cfRule type="cellIs" priority="27" operator="between">
      <formula>0.76</formula>
      <formula>1</formula>
    </cfRule>
    <cfRule type="cellIs" dxfId="2" priority="28" operator="between">
      <formula>0.51</formula>
      <formula>0.75</formula>
    </cfRule>
    <cfRule type="cellIs" dxfId="1" priority="29" operator="between">
      <formula>0.26</formula>
      <formula>0.5</formula>
    </cfRule>
    <cfRule type="cellIs" dxfId="0" priority="30" operator="between">
      <formula>0</formula>
      <formula>0.25</formula>
    </cfRule>
  </conditionalFormatting>
  <dataValidations count="3">
    <dataValidation type="list" allowBlank="1" showInputMessage="1" showErrorMessage="1" sqref="E21:E22" xr:uid="{00000000-0002-0000-0300-000000000000}">
      <formula1>"Si, No"</formula1>
    </dataValidation>
    <dataValidation allowBlank="1" showInputMessage="1" showErrorMessage="1" prompt="Celda formulada, información proveniente de la pestaña de deficiencias." sqref="E24" xr:uid="{00000000-0002-0000-0300-000001000000}"/>
    <dataValidation type="list" allowBlank="1" showInputMessage="1" showErrorMessage="1" sqref="E20" xr:uid="{00000000-0002-0000-0300-000002000000}">
      <formula1>"Si,En proceso,No"</formula1>
    </dataValidation>
  </dataValidations>
  <pageMargins left="0.7" right="0.7" top="0.75" bottom="0.75" header="0.3" footer="0.3"/>
  <pageSetup orientation="portrait" horizontalDpi="300" verticalDpi="300" r:id="rId1"/>
  <drawing r:id="rId2"/>
  <extLst>
    <ext xmlns:x14="http://schemas.microsoft.com/office/spreadsheetml/2009/9/main" uri="{78C0D931-6437-407d-A8EE-F0AAD7539E65}">
      <x14:conditionalFormattings>
        <x14:conditionalFormatting xmlns:xm="http://schemas.microsoft.com/office/excel/2006/main">
          <x14:cfRule type="cellIs" priority="34" operator="between" id="{7ADAD4B9-72C7-4518-BD8A-A7D8DD349CD9}">
            <xm:f>0</xm:f>
            <xm:f>'C:\Users\dell\Desktop\cesar\HISTORICOS\[2020-04-22_Formato_informe_sci_parametrizado_final.xlsx]Analisis de Resultados'!#REF!</xm:f>
            <x14:dxf>
              <fill>
                <patternFill>
                  <bgColor rgb="FFFF0000"/>
                </patternFill>
              </fill>
            </x14:dxf>
          </x14:cfRule>
          <xm:sqref>G26 G28 G30 G32 G34</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45"/>
  <sheetViews>
    <sheetView workbookViewId="0">
      <selection activeCell="F2" sqref="F2"/>
    </sheetView>
  </sheetViews>
  <sheetFormatPr baseColWidth="10" defaultColWidth="11.42578125" defaultRowHeight="15" x14ac:dyDescent="0.25"/>
  <cols>
    <col min="2" max="2" width="31" bestFit="1" customWidth="1"/>
    <col min="3" max="3" width="17.140625" customWidth="1"/>
    <col min="5" max="5" width="15.140625" customWidth="1"/>
    <col min="10" max="10" width="15.7109375" customWidth="1"/>
    <col min="11" max="11" width="12" bestFit="1" customWidth="1"/>
  </cols>
  <sheetData>
    <row r="1" spans="1:11" ht="84.75" customHeight="1" x14ac:dyDescent="0.25">
      <c r="A1" s="143" t="s">
        <v>25</v>
      </c>
      <c r="B1" s="143" t="s">
        <v>6</v>
      </c>
      <c r="C1" s="144" t="s">
        <v>8</v>
      </c>
      <c r="D1" s="145" t="s">
        <v>26</v>
      </c>
      <c r="E1" s="145" t="s">
        <v>27</v>
      </c>
      <c r="F1" s="145" t="s">
        <v>138</v>
      </c>
      <c r="G1" s="146" t="s">
        <v>139</v>
      </c>
      <c r="H1" s="146" t="s">
        <v>140</v>
      </c>
      <c r="I1" s="146" t="s">
        <v>119</v>
      </c>
      <c r="J1" s="146" t="s">
        <v>141</v>
      </c>
      <c r="K1" s="146" t="s">
        <v>142</v>
      </c>
    </row>
    <row r="2" spans="1:11" x14ac:dyDescent="0.25">
      <c r="A2" s="147" t="s">
        <v>143</v>
      </c>
      <c r="B2" s="147" t="str">
        <f>+VLOOKUP(A2,'Estado SCI'!$A$16:$C$59,3,0)</f>
        <v>AMBIENTE DE CONTROL</v>
      </c>
      <c r="C2" s="147" t="s">
        <v>33</v>
      </c>
      <c r="D2" s="147" t="s">
        <v>34</v>
      </c>
      <c r="E2" s="147" t="s">
        <v>35</v>
      </c>
      <c r="F2" s="147" t="str">
        <f>+VLOOKUP(A2,'Estado SCI'!$A$16:$I$59,9,0)</f>
        <v>Mantenimiento del control</v>
      </c>
      <c r="G2" s="147">
        <f>+VLOOKUP(A2,'Estado SCI'!$A$16:$L$59,12,0)</f>
        <v>20.123000000000001</v>
      </c>
      <c r="H2" s="147">
        <f t="shared" ref="H2:H45" si="0">+_xlfn.RANK.EQ(G2,$G$2:$G$45,1)</f>
        <v>2</v>
      </c>
      <c r="I2" s="147" t="str">
        <f>+IF(VLOOKUP(A2,'Estado SCI'!$A$16:$G$59,7,0)="","",VLOOKUP(A2,'Estado SCI'!$A$16:$G$59,7,0))</f>
        <v>Si</v>
      </c>
      <c r="J2" s="148">
        <f>+IF(I2="Si",1,IF(I2="En proceso",0.5,0))</f>
        <v>1</v>
      </c>
      <c r="K2" s="149">
        <f t="shared" ref="K2:K45" si="1">+AVERAGEIF($B$2:$B$45,B2,$J$2:$J$45)</f>
        <v>0.95833333333333337</v>
      </c>
    </row>
    <row r="3" spans="1:11" x14ac:dyDescent="0.25">
      <c r="A3" s="147" t="s">
        <v>144</v>
      </c>
      <c r="B3" s="147" t="s">
        <v>32</v>
      </c>
      <c r="C3" s="147" t="s">
        <v>33</v>
      </c>
      <c r="D3" s="147" t="s">
        <v>37</v>
      </c>
      <c r="E3" s="147" t="s">
        <v>38</v>
      </c>
      <c r="F3" s="147" t="str">
        <f>+VLOOKUP(A3,'Estado SCI'!$A$16:$I$59,9,0)</f>
        <v>Mantenimiento del control</v>
      </c>
      <c r="G3" s="147">
        <f>+VLOOKUP(A3,'Estado SCI'!$A$16:$L$59,12,0)</f>
        <v>20.1234</v>
      </c>
      <c r="H3" s="147">
        <f t="shared" si="0"/>
        <v>3</v>
      </c>
      <c r="I3" s="147" t="str">
        <f>+IF(VLOOKUP(A3,'Estado SCI'!$A$16:$G$59,7,0)="","",VLOOKUP(A3,'Estado SCI'!$A$16:$G$59,7,0))</f>
        <v>Si</v>
      </c>
      <c r="J3" s="148">
        <f t="shared" ref="J3:J45" si="2">+IF(I3="Si",1,IF(I3="En proceso",0.5,0))</f>
        <v>1</v>
      </c>
      <c r="K3" s="149">
        <f t="shared" si="1"/>
        <v>0.95833333333333337</v>
      </c>
    </row>
    <row r="4" spans="1:11" x14ac:dyDescent="0.25">
      <c r="A4" s="147" t="s">
        <v>145</v>
      </c>
      <c r="B4" s="147" t="s">
        <v>32</v>
      </c>
      <c r="C4" s="147" t="s">
        <v>33</v>
      </c>
      <c r="D4" s="147" t="s">
        <v>40</v>
      </c>
      <c r="E4" s="147" t="s">
        <v>41</v>
      </c>
      <c r="F4" s="147" t="str">
        <f>+VLOOKUP(A4,'Estado SCI'!$A$16:$I$59,9,0)</f>
        <v>Mantenimiento del control</v>
      </c>
      <c r="G4" s="147">
        <f>+VLOOKUP(A4,'Estado SCI'!$A$16:$L$59,12,0)</f>
        <v>20.123449999999998</v>
      </c>
      <c r="H4" s="147">
        <f t="shared" si="0"/>
        <v>4</v>
      </c>
      <c r="I4" s="147" t="str">
        <f>+IF(VLOOKUP(A4,'Estado SCI'!$A$16:$G$59,7,0)="","",VLOOKUP(A4,'Estado SCI'!$A$16:$G$59,7,0))</f>
        <v>Si</v>
      </c>
      <c r="J4" s="148">
        <f t="shared" si="2"/>
        <v>1</v>
      </c>
      <c r="K4" s="149">
        <f t="shared" si="1"/>
        <v>0.95833333333333337</v>
      </c>
    </row>
    <row r="5" spans="1:11" x14ac:dyDescent="0.25">
      <c r="A5" s="147" t="s">
        <v>146</v>
      </c>
      <c r="B5" s="147" t="s">
        <v>32</v>
      </c>
      <c r="C5" s="147" t="s">
        <v>33</v>
      </c>
      <c r="D5" s="147" t="s">
        <v>42</v>
      </c>
      <c r="E5" s="147" t="s">
        <v>43</v>
      </c>
      <c r="F5" s="147" t="str">
        <f>+VLOOKUP(A5,'Estado SCI'!$A$16:$I$59,9,0)</f>
        <v>Mantenimiento del control</v>
      </c>
      <c r="G5" s="147">
        <f>+VLOOKUP(A5,'Estado SCI'!$A$16:$L$59,12,0)</f>
        <v>20.123456000000001</v>
      </c>
      <c r="H5" s="147">
        <f t="shared" si="0"/>
        <v>5</v>
      </c>
      <c r="I5" s="147" t="str">
        <f>+IF(VLOOKUP(A5,'Estado SCI'!$A$16:$G$59,7,0)="","",VLOOKUP(A5,'Estado SCI'!$A$16:$G$59,7,0))</f>
        <v>Si</v>
      </c>
      <c r="J5" s="148">
        <f t="shared" si="2"/>
        <v>1</v>
      </c>
      <c r="K5" s="149">
        <f t="shared" si="1"/>
        <v>0.95833333333333337</v>
      </c>
    </row>
    <row r="6" spans="1:11" x14ac:dyDescent="0.25">
      <c r="A6" s="147" t="s">
        <v>147</v>
      </c>
      <c r="B6" s="147" t="s">
        <v>32</v>
      </c>
      <c r="C6" s="147" t="s">
        <v>33</v>
      </c>
      <c r="D6" s="147" t="s">
        <v>44</v>
      </c>
      <c r="E6" s="147" t="s">
        <v>45</v>
      </c>
      <c r="F6" s="147" t="str">
        <f>+VLOOKUP(A6,'Estado SCI'!$A$16:$I$59,9,0)</f>
        <v>Mantenimiento del control</v>
      </c>
      <c r="G6" s="147">
        <f>+VLOOKUP(A6,'Estado SCI'!$A$16:$L$59,12,0)</f>
        <v>20.123456780000001</v>
      </c>
      <c r="H6" s="147">
        <f t="shared" si="0"/>
        <v>6</v>
      </c>
      <c r="I6" s="147" t="str">
        <f>+IF(VLOOKUP(A6,'Estado SCI'!$A$16:$G$59,7,0)="","",VLOOKUP(A6,'Estado SCI'!$A$16:$G$59,7,0))</f>
        <v>Si</v>
      </c>
      <c r="J6" s="148">
        <f t="shared" si="2"/>
        <v>1</v>
      </c>
      <c r="K6" s="149">
        <f t="shared" si="1"/>
        <v>0.95833333333333337</v>
      </c>
    </row>
    <row r="7" spans="1:11" x14ac:dyDescent="0.25">
      <c r="A7" s="147" t="s">
        <v>148</v>
      </c>
      <c r="B7" s="147" t="s">
        <v>32</v>
      </c>
      <c r="C7" s="147" t="s">
        <v>33</v>
      </c>
      <c r="D7" s="147" t="s">
        <v>46</v>
      </c>
      <c r="E7" s="147" t="s">
        <v>47</v>
      </c>
      <c r="F7" s="147" t="str">
        <f>+VLOOKUP(A7,'Estado SCI'!$A$16:$I$59,9,0)</f>
        <v>Mantenimiento del control</v>
      </c>
      <c r="G7" s="147">
        <f>+VLOOKUP(A7,'Estado SCI'!$A$16:$L$59,12,0)</f>
        <v>20.123456788999999</v>
      </c>
      <c r="H7" s="147">
        <f t="shared" si="0"/>
        <v>7</v>
      </c>
      <c r="I7" s="147" t="str">
        <f>+IF(VLOOKUP(A7,'Estado SCI'!$A$16:$G$59,7,0)="","",VLOOKUP(A7,'Estado SCI'!$A$16:$G$59,7,0))</f>
        <v>Si</v>
      </c>
      <c r="J7" s="148">
        <f t="shared" si="2"/>
        <v>1</v>
      </c>
      <c r="K7" s="149">
        <f t="shared" si="1"/>
        <v>0.95833333333333337</v>
      </c>
    </row>
    <row r="8" spans="1:11" x14ac:dyDescent="0.25">
      <c r="A8" s="147" t="s">
        <v>149</v>
      </c>
      <c r="B8" s="147" t="s">
        <v>32</v>
      </c>
      <c r="C8" s="147" t="s">
        <v>33</v>
      </c>
      <c r="D8" s="147" t="s">
        <v>48</v>
      </c>
      <c r="E8" s="147" t="s">
        <v>49</v>
      </c>
      <c r="F8" s="147" t="str">
        <f>+VLOOKUP(A8,'Estado SCI'!$A$16:$I$59,9,0)</f>
        <v>Mantenimiento del control</v>
      </c>
      <c r="G8" s="147">
        <f>+VLOOKUP(A8,'Estado SCI'!$A$16:$L$59,12,0)</f>
        <v>20.1234567891</v>
      </c>
      <c r="H8" s="147">
        <f t="shared" si="0"/>
        <v>8</v>
      </c>
      <c r="I8" s="147" t="str">
        <f>+IF(VLOOKUP(A8,'Estado SCI'!$A$16:$G$59,7,0)="","",VLOOKUP(A8,'Estado SCI'!$A$16:$G$59,7,0))</f>
        <v>Si</v>
      </c>
      <c r="J8" s="148">
        <f t="shared" si="2"/>
        <v>1</v>
      </c>
      <c r="K8" s="149">
        <f t="shared" si="1"/>
        <v>0.95833333333333337</v>
      </c>
    </row>
    <row r="9" spans="1:11" x14ac:dyDescent="0.25">
      <c r="A9" s="147" t="s">
        <v>150</v>
      </c>
      <c r="B9" s="147" t="s">
        <v>32</v>
      </c>
      <c r="C9" s="147" t="s">
        <v>33</v>
      </c>
      <c r="D9" s="147" t="s">
        <v>50</v>
      </c>
      <c r="E9" s="147" t="s">
        <v>51</v>
      </c>
      <c r="F9" s="147" t="str">
        <f>+VLOOKUP(A9,'Estado SCI'!$A$16:$I$59,9,0)</f>
        <v>Mantenimiento del control</v>
      </c>
      <c r="G9" s="147">
        <f>+VLOOKUP(A9,'Estado SCI'!$A$16:$L$59,12,0)</f>
        <v>20.123456789119999</v>
      </c>
      <c r="H9" s="147">
        <f t="shared" si="0"/>
        <v>9</v>
      </c>
      <c r="I9" s="147" t="str">
        <f>+IF(VLOOKUP(A9,'Estado SCI'!$A$16:$G$59,7,0)="","",VLOOKUP(A9,'Estado SCI'!$A$16:$G$59,7,0))</f>
        <v>Si</v>
      </c>
      <c r="J9" s="148">
        <f t="shared" si="2"/>
        <v>1</v>
      </c>
      <c r="K9" s="149">
        <f t="shared" si="1"/>
        <v>0.95833333333333337</v>
      </c>
    </row>
    <row r="10" spans="1:11" x14ac:dyDescent="0.25">
      <c r="A10" s="147" t="s">
        <v>151</v>
      </c>
      <c r="B10" s="147" t="s">
        <v>32</v>
      </c>
      <c r="C10" s="147" t="s">
        <v>33</v>
      </c>
      <c r="D10" s="147" t="s">
        <v>52</v>
      </c>
      <c r="E10" s="147" t="s">
        <v>53</v>
      </c>
      <c r="F10" s="147" t="str">
        <f>+VLOOKUP(A10,'Estado SCI'!$A$16:$I$59,9,0)</f>
        <v>Mantenimiento del control</v>
      </c>
      <c r="G10" s="147">
        <f>+VLOOKUP(A10,'Estado SCI'!$A$16:$L$59,12,0)</f>
        <v>20.123456789123001</v>
      </c>
      <c r="H10" s="147">
        <f t="shared" si="0"/>
        <v>10</v>
      </c>
      <c r="I10" s="147" t="str">
        <f>+IF(VLOOKUP(A10,'Estado SCI'!$A$16:$G$59,7,0)="","",VLOOKUP(A10,'Estado SCI'!$A$16:$G$59,7,0))</f>
        <v>Si</v>
      </c>
      <c r="J10" s="148">
        <f t="shared" si="2"/>
        <v>1</v>
      </c>
      <c r="K10" s="149">
        <f t="shared" si="1"/>
        <v>0.95833333333333337</v>
      </c>
    </row>
    <row r="11" spans="1:11" x14ac:dyDescent="0.25">
      <c r="A11" s="147" t="s">
        <v>152</v>
      </c>
      <c r="B11" s="147" t="s">
        <v>32</v>
      </c>
      <c r="C11" s="147" t="s">
        <v>33</v>
      </c>
      <c r="D11" s="147" t="s">
        <v>54</v>
      </c>
      <c r="E11" s="147" t="s">
        <v>55</v>
      </c>
      <c r="F11" s="147" t="str">
        <f>+VLOOKUP(A11,'Estado SCI'!$A$16:$I$59,9,0)</f>
        <v>Mantenimiento del control</v>
      </c>
      <c r="G11" s="147">
        <f>+VLOOKUP(A11,'Estado SCI'!$A$16:$L$59,12,0)</f>
        <v>20.123456789123399</v>
      </c>
      <c r="H11" s="147">
        <f t="shared" si="0"/>
        <v>11</v>
      </c>
      <c r="I11" s="147" t="str">
        <f>+IF(VLOOKUP(A11,'Estado SCI'!$A$16:$G$59,7,0)="","",VLOOKUP(A11,'Estado SCI'!$A$16:$G$59,7,0))</f>
        <v>Si</v>
      </c>
      <c r="J11" s="148">
        <f t="shared" si="2"/>
        <v>1</v>
      </c>
      <c r="K11" s="149">
        <f t="shared" si="1"/>
        <v>0.95833333333333337</v>
      </c>
    </row>
    <row r="12" spans="1:11" x14ac:dyDescent="0.25">
      <c r="A12" s="147" t="s">
        <v>153</v>
      </c>
      <c r="B12" s="147" t="s">
        <v>32</v>
      </c>
      <c r="C12" s="147" t="s">
        <v>33</v>
      </c>
      <c r="D12" s="147" t="s">
        <v>56</v>
      </c>
      <c r="E12" s="147" t="s">
        <v>57</v>
      </c>
      <c r="F12" s="147" t="str">
        <f>+VLOOKUP(A12,'Estado SCI'!$A$16:$I$59,9,0)</f>
        <v>Oportunidad de mejora</v>
      </c>
      <c r="G12" s="147">
        <f>+VLOOKUP(A12,'Estado SCI'!$A$16:$L$59,12,0)</f>
        <v>10.12345678912345</v>
      </c>
      <c r="H12" s="147">
        <f t="shared" si="0"/>
        <v>1</v>
      </c>
      <c r="I12" s="147" t="str">
        <f>+IF(VLOOKUP(A12,'Estado SCI'!$A$16:$G$59,7,0)="","",VLOOKUP(A12,'Estado SCI'!$A$16:$G$59,7,0))</f>
        <v>En proceso</v>
      </c>
      <c r="J12" s="148">
        <f t="shared" si="2"/>
        <v>0.5</v>
      </c>
      <c r="K12" s="149">
        <f t="shared" si="1"/>
        <v>0.95833333333333337</v>
      </c>
    </row>
    <row r="13" spans="1:11" x14ac:dyDescent="0.25">
      <c r="A13" s="147" t="s">
        <v>154</v>
      </c>
      <c r="B13" s="147" t="s">
        <v>32</v>
      </c>
      <c r="C13" s="147" t="s">
        <v>33</v>
      </c>
      <c r="D13" s="147" t="s">
        <v>58</v>
      </c>
      <c r="E13" s="147" t="s">
        <v>59</v>
      </c>
      <c r="F13" s="147" t="str">
        <f>+VLOOKUP(A13,'Estado SCI'!$A$16:$I$59,9,0)</f>
        <v>Mantenimiento del control</v>
      </c>
      <c r="G13" s="147">
        <f>+VLOOKUP(A13,'Estado SCI'!$A$16:$L$59,12,0)</f>
        <v>20.123456789123455</v>
      </c>
      <c r="H13" s="147">
        <f t="shared" si="0"/>
        <v>12</v>
      </c>
      <c r="I13" s="147" t="str">
        <f>+IF(VLOOKUP(A13,'Estado SCI'!$A$16:$G$59,7,0)="","",VLOOKUP(A13,'Estado SCI'!$A$16:$G$59,7,0))</f>
        <v>Si</v>
      </c>
      <c r="J13" s="148">
        <f t="shared" si="2"/>
        <v>1</v>
      </c>
      <c r="K13" s="149">
        <f t="shared" si="1"/>
        <v>0.95833333333333337</v>
      </c>
    </row>
    <row r="14" spans="1:11" ht="15" customHeight="1" x14ac:dyDescent="0.25">
      <c r="A14" s="147" t="s">
        <v>155</v>
      </c>
      <c r="B14" s="147" t="str">
        <f>+VLOOKUP(A14,'Estado SCI'!$A$16:$C$59,3,0)</f>
        <v>EVALUACION DEL RIESGO</v>
      </c>
      <c r="C14" s="147" t="s">
        <v>62</v>
      </c>
      <c r="D14" s="147" t="s">
        <v>34</v>
      </c>
      <c r="E14" s="147" t="s">
        <v>156</v>
      </c>
      <c r="F14" s="147" t="str">
        <f>+VLOOKUP(A14,'Estado SCI'!$A$16:$I$59,9,0)</f>
        <v>Mantenimiento del control</v>
      </c>
      <c r="G14" s="147">
        <f>+VLOOKUP(A14,'Estado SCI'!$A$16:$L$59,12,0)</f>
        <v>40.229999999999997</v>
      </c>
      <c r="H14" s="147">
        <f t="shared" si="0"/>
        <v>13</v>
      </c>
      <c r="I14" s="147" t="str">
        <f>+IF(VLOOKUP(A14,'Estado SCI'!$A$16:$G$59,7,0)="","",VLOOKUP(A14,'Estado SCI'!$A$16:$G$59,7,0))</f>
        <v>Si</v>
      </c>
      <c r="J14" s="148">
        <f t="shared" si="2"/>
        <v>1</v>
      </c>
      <c r="K14" s="149">
        <f t="shared" si="1"/>
        <v>1</v>
      </c>
    </row>
    <row r="15" spans="1:11" ht="15" customHeight="1" x14ac:dyDescent="0.25">
      <c r="A15" s="147" t="s">
        <v>157</v>
      </c>
      <c r="B15" s="147" t="s">
        <v>61</v>
      </c>
      <c r="C15" s="147" t="s">
        <v>62</v>
      </c>
      <c r="D15" s="147" t="s">
        <v>37</v>
      </c>
      <c r="E15" s="147" t="s">
        <v>158</v>
      </c>
      <c r="F15" s="147" t="str">
        <f>+VLOOKUP(A15,'Estado SCI'!$A$16:$I$59,9,0)</f>
        <v>Mantenimiento del control</v>
      </c>
      <c r="G15" s="147">
        <f>+VLOOKUP(A15,'Estado SCI'!$A$16:$L$59,12,0)</f>
        <v>40.234000000000002</v>
      </c>
      <c r="H15" s="147">
        <f t="shared" si="0"/>
        <v>14</v>
      </c>
      <c r="I15" s="147" t="str">
        <f>+IF(VLOOKUP(A15,'Estado SCI'!$A$16:$G$59,7,0)="","",VLOOKUP(A15,'Estado SCI'!$A$16:$G$59,7,0))</f>
        <v>Si</v>
      </c>
      <c r="J15" s="148">
        <f t="shared" si="2"/>
        <v>1</v>
      </c>
      <c r="K15" s="149">
        <f t="shared" si="1"/>
        <v>1</v>
      </c>
    </row>
    <row r="16" spans="1:11" ht="15" customHeight="1" x14ac:dyDescent="0.25">
      <c r="A16" s="147" t="s">
        <v>159</v>
      </c>
      <c r="B16" s="147" t="s">
        <v>61</v>
      </c>
      <c r="C16" s="147" t="s">
        <v>62</v>
      </c>
      <c r="D16" s="147" t="s">
        <v>40</v>
      </c>
      <c r="E16" s="147" t="s">
        <v>160</v>
      </c>
      <c r="F16" s="147" t="str">
        <f>+VLOOKUP(A16,'Estado SCI'!$A$16:$I$59,9,0)</f>
        <v>Mantenimiento del control</v>
      </c>
      <c r="G16" s="147">
        <f>+VLOOKUP(A16,'Estado SCI'!$A$16:$L$59,12,0)</f>
        <v>40.234499999999997</v>
      </c>
      <c r="H16" s="147">
        <f t="shared" si="0"/>
        <v>15</v>
      </c>
      <c r="I16" s="147" t="str">
        <f>+IF(VLOOKUP(A16,'Estado SCI'!$A$16:$G$59,7,0)="","",VLOOKUP(A16,'Estado SCI'!$A$16:$G$59,7,0))</f>
        <v>Si</v>
      </c>
      <c r="J16" s="148">
        <f t="shared" si="2"/>
        <v>1</v>
      </c>
      <c r="K16" s="149">
        <f t="shared" si="1"/>
        <v>1</v>
      </c>
    </row>
    <row r="17" spans="1:11" ht="15.75" customHeight="1" x14ac:dyDescent="0.25">
      <c r="A17" s="147" t="s">
        <v>161</v>
      </c>
      <c r="B17" s="147" t="s">
        <v>61</v>
      </c>
      <c r="C17" s="147" t="s">
        <v>62</v>
      </c>
      <c r="D17" s="147" t="s">
        <v>42</v>
      </c>
      <c r="E17" s="147" t="s">
        <v>66</v>
      </c>
      <c r="F17" s="147" t="str">
        <f>+VLOOKUP(A17,'Estado SCI'!$A$16:$I$59,9,0)</f>
        <v>Mantenimiento del control</v>
      </c>
      <c r="G17" s="147">
        <f>+VLOOKUP(A17,'Estado SCI'!$A$16:$L$59,12,0)</f>
        <v>40.234560000000002</v>
      </c>
      <c r="H17" s="147">
        <f t="shared" si="0"/>
        <v>16</v>
      </c>
      <c r="I17" s="147" t="str">
        <f>+IF(VLOOKUP(A17,'Estado SCI'!$A$16:$G$59,7,0)="","",VLOOKUP(A17,'Estado SCI'!$A$16:$G$59,7,0))</f>
        <v>Si</v>
      </c>
      <c r="J17" s="148">
        <f t="shared" si="2"/>
        <v>1</v>
      </c>
      <c r="K17" s="149">
        <f t="shared" si="1"/>
        <v>1</v>
      </c>
    </row>
    <row r="18" spans="1:11" ht="15" customHeight="1" x14ac:dyDescent="0.25">
      <c r="A18" s="147" t="s">
        <v>162</v>
      </c>
      <c r="B18" s="147" t="s">
        <v>61</v>
      </c>
      <c r="C18" s="147" t="s">
        <v>80</v>
      </c>
      <c r="D18" s="147" t="s">
        <v>34</v>
      </c>
      <c r="E18" s="147" t="s">
        <v>69</v>
      </c>
      <c r="F18" s="147" t="str">
        <f>+VLOOKUP(A18,'Estado SCI'!$A$16:$I$59,9,0)</f>
        <v>Mantenimiento del control</v>
      </c>
      <c r="G18" s="147">
        <f>+VLOOKUP(A18,'Estado SCI'!$A$16:$L$59,12,0)</f>
        <v>40.234566999999998</v>
      </c>
      <c r="H18" s="147">
        <f t="shared" si="0"/>
        <v>17</v>
      </c>
      <c r="I18" s="147" t="str">
        <f>+IF(VLOOKUP(A18,'Estado SCI'!$A$16:$G$59,7,0)="","",VLOOKUP(A18,'Estado SCI'!$A$16:$G$59,7,0))</f>
        <v>Si</v>
      </c>
      <c r="J18" s="148">
        <f t="shared" si="2"/>
        <v>1</v>
      </c>
      <c r="K18" s="149">
        <f t="shared" si="1"/>
        <v>1</v>
      </c>
    </row>
    <row r="19" spans="1:11" ht="15" customHeight="1" x14ac:dyDescent="0.25">
      <c r="A19" s="147" t="s">
        <v>163</v>
      </c>
      <c r="B19" s="147" t="s">
        <v>61</v>
      </c>
      <c r="C19" s="147" t="s">
        <v>80</v>
      </c>
      <c r="D19" s="147" t="s">
        <v>37</v>
      </c>
      <c r="E19" s="147" t="s">
        <v>70</v>
      </c>
      <c r="F19" s="147" t="str">
        <f>+VLOOKUP(A19,'Estado SCI'!$A$16:$I$59,9,0)</f>
        <v>Mantenimiento del control</v>
      </c>
      <c r="G19" s="147">
        <f>+VLOOKUP(A19,'Estado SCI'!$A$16:$L$59,12,0)</f>
        <v>40.234567800000001</v>
      </c>
      <c r="H19" s="147">
        <f t="shared" si="0"/>
        <v>18</v>
      </c>
      <c r="I19" s="147" t="str">
        <f>+IF(VLOOKUP(A19,'Estado SCI'!$A$16:$G$59,7,0)="","",VLOOKUP(A19,'Estado SCI'!$A$16:$G$59,7,0))</f>
        <v>Si</v>
      </c>
      <c r="J19" s="148">
        <f t="shared" si="2"/>
        <v>1</v>
      </c>
      <c r="K19" s="149">
        <f t="shared" si="1"/>
        <v>1</v>
      </c>
    </row>
    <row r="20" spans="1:11" ht="15" customHeight="1" x14ac:dyDescent="0.25">
      <c r="A20" s="147" t="s">
        <v>164</v>
      </c>
      <c r="B20" s="147" t="s">
        <v>61</v>
      </c>
      <c r="C20" s="147" t="s">
        <v>80</v>
      </c>
      <c r="D20" s="147" t="s">
        <v>40</v>
      </c>
      <c r="E20" s="147" t="s">
        <v>71</v>
      </c>
      <c r="F20" s="147" t="str">
        <f>+VLOOKUP(A20,'Estado SCI'!$A$16:$I$59,9,0)</f>
        <v>Mantenimiento del control</v>
      </c>
      <c r="G20" s="147">
        <f>+VLOOKUP(A20,'Estado SCI'!$A$16:$L$59,12,0)</f>
        <v>40.234567890000001</v>
      </c>
      <c r="H20" s="147">
        <f t="shared" si="0"/>
        <v>19</v>
      </c>
      <c r="I20" s="147" t="str">
        <f>+IF(VLOOKUP(A20,'Estado SCI'!$A$16:$G$59,7,0)="","",VLOOKUP(A20,'Estado SCI'!$A$16:$G$59,7,0))</f>
        <v>Si</v>
      </c>
      <c r="J20" s="148">
        <f t="shared" si="2"/>
        <v>1</v>
      </c>
      <c r="K20" s="149">
        <f t="shared" si="1"/>
        <v>1</v>
      </c>
    </row>
    <row r="21" spans="1:11" ht="15.75" customHeight="1" x14ac:dyDescent="0.25">
      <c r="A21" s="147" t="s">
        <v>165</v>
      </c>
      <c r="B21" s="147" t="s">
        <v>61</v>
      </c>
      <c r="C21" s="147" t="s">
        <v>80</v>
      </c>
      <c r="D21" s="147" t="s">
        <v>34</v>
      </c>
      <c r="E21" s="147" t="s">
        <v>74</v>
      </c>
      <c r="F21" s="147" t="str">
        <f>+VLOOKUP(A21,'Estado SCI'!$A$16:$I$59,9,0)</f>
        <v>Mantenimiento del control</v>
      </c>
      <c r="G21" s="147">
        <f>+VLOOKUP(A21,'Estado SCI'!$A$16:$L$59,12,0)</f>
        <v>40.234567891200001</v>
      </c>
      <c r="H21" s="147">
        <f t="shared" si="0"/>
        <v>20</v>
      </c>
      <c r="I21" s="147" t="str">
        <f>+IF(VLOOKUP(A21,'Estado SCI'!$A$16:$G$59,7,0)="","",VLOOKUP(A21,'Estado SCI'!$A$16:$G$59,7,0))</f>
        <v>Si</v>
      </c>
      <c r="J21" s="148">
        <f t="shared" si="2"/>
        <v>1</v>
      </c>
      <c r="K21" s="149">
        <f t="shared" si="1"/>
        <v>1</v>
      </c>
    </row>
    <row r="22" spans="1:11" ht="15" customHeight="1" x14ac:dyDescent="0.25">
      <c r="A22" s="147" t="s">
        <v>166</v>
      </c>
      <c r="B22" s="147" t="s">
        <v>61</v>
      </c>
      <c r="C22" s="147" t="s">
        <v>88</v>
      </c>
      <c r="D22" s="147" t="s">
        <v>37</v>
      </c>
      <c r="E22" s="147" t="s">
        <v>75</v>
      </c>
      <c r="F22" s="147" t="str">
        <f>+VLOOKUP(A22,'Estado SCI'!$A$16:$I$59,9,0)</f>
        <v>Mantenimiento del control</v>
      </c>
      <c r="G22" s="147">
        <f>+VLOOKUP(A22,'Estado SCI'!$A$16:$L$59,12,0)</f>
        <v>40.23456789123</v>
      </c>
      <c r="H22" s="147">
        <f t="shared" si="0"/>
        <v>21</v>
      </c>
      <c r="I22" s="147" t="str">
        <f>+IF(VLOOKUP(A22,'Estado SCI'!$A$16:$G$59,7,0)="","",VLOOKUP(A22,'Estado SCI'!$A$16:$G$59,7,0))</f>
        <v>Si</v>
      </c>
      <c r="J22" s="148">
        <f t="shared" si="2"/>
        <v>1</v>
      </c>
      <c r="K22" s="149">
        <f t="shared" si="1"/>
        <v>1</v>
      </c>
    </row>
    <row r="23" spans="1:11" ht="15" customHeight="1" x14ac:dyDescent="0.25">
      <c r="A23" s="147" t="s">
        <v>167</v>
      </c>
      <c r="B23" s="147" t="s">
        <v>61</v>
      </c>
      <c r="C23" s="147" t="s">
        <v>88</v>
      </c>
      <c r="D23" s="147" t="s">
        <v>40</v>
      </c>
      <c r="E23" s="147" t="s">
        <v>77</v>
      </c>
      <c r="F23" s="147" t="str">
        <f>+VLOOKUP(A23,'Estado SCI'!$A$16:$I$59,9,0)</f>
        <v>Mantenimiento del control</v>
      </c>
      <c r="G23" s="147">
        <f>+VLOOKUP(A23,'Estado SCI'!$A$16:$L$59,12,0)</f>
        <v>40.234567891234001</v>
      </c>
      <c r="H23" s="147">
        <f t="shared" si="0"/>
        <v>22</v>
      </c>
      <c r="I23" s="147" t="str">
        <f>+IF(VLOOKUP(A23,'Estado SCI'!$A$16:$G$59,7,0)="","",VLOOKUP(A23,'Estado SCI'!$A$16:$G$59,7,0))</f>
        <v>Si</v>
      </c>
      <c r="J23" s="148">
        <f t="shared" si="2"/>
        <v>1</v>
      </c>
      <c r="K23" s="149">
        <f t="shared" si="1"/>
        <v>1</v>
      </c>
    </row>
    <row r="24" spans="1:11" ht="15" customHeight="1" x14ac:dyDescent="0.25">
      <c r="A24" s="147" t="s">
        <v>168</v>
      </c>
      <c r="B24" s="147" t="str">
        <f>+VLOOKUP(A24,'Estado SCI'!$A$16:$C$59,3,0)</f>
        <v>ACTIVIDADES DE CONTROL</v>
      </c>
      <c r="C24" s="147" t="s">
        <v>88</v>
      </c>
      <c r="D24" s="147" t="s">
        <v>34</v>
      </c>
      <c r="E24" s="147" t="s">
        <v>81</v>
      </c>
      <c r="F24" s="147" t="str">
        <f>+VLOOKUP(A24,'Estado SCI'!$A$16:$I$59,9,0)</f>
        <v>Mantenimiento del control</v>
      </c>
      <c r="G24" s="147">
        <f>+VLOOKUP(A24,'Estado SCI'!$A$16:$L$59,12,0)</f>
        <v>60.31</v>
      </c>
      <c r="H24" s="147">
        <f t="shared" si="0"/>
        <v>23</v>
      </c>
      <c r="I24" s="147" t="str">
        <f>+IF(VLOOKUP(A24,'Estado SCI'!$A$16:$G$59,7,0)="","",VLOOKUP(A24,'Estado SCI'!$A$16:$G$59,7,0))</f>
        <v>Si</v>
      </c>
      <c r="J24" s="148">
        <f t="shared" si="2"/>
        <v>1</v>
      </c>
      <c r="K24" s="149">
        <f t="shared" si="1"/>
        <v>1</v>
      </c>
    </row>
    <row r="25" spans="1:11" ht="15" customHeight="1" x14ac:dyDescent="0.25">
      <c r="A25" s="147" t="s">
        <v>169</v>
      </c>
      <c r="B25" s="147" t="s">
        <v>79</v>
      </c>
      <c r="C25" s="147" t="s">
        <v>88</v>
      </c>
      <c r="D25" s="147" t="s">
        <v>37</v>
      </c>
      <c r="E25" s="147" t="s">
        <v>82</v>
      </c>
      <c r="F25" s="147" t="str">
        <f>+VLOOKUP(A25,'Estado SCI'!$A$16:$I$59,9,0)</f>
        <v>Mantenimiento del control</v>
      </c>
      <c r="G25" s="147">
        <f>+VLOOKUP(A25,'Estado SCI'!$A$16:$L$59,12,0)</f>
        <v>60.323</v>
      </c>
      <c r="H25" s="147">
        <f t="shared" si="0"/>
        <v>24</v>
      </c>
      <c r="I25" s="147" t="str">
        <f>+IF(VLOOKUP(A25,'Estado SCI'!$A$16:$G$59,7,0)="","",VLOOKUP(A25,'Estado SCI'!$A$16:$G$59,7,0))</f>
        <v>Si</v>
      </c>
      <c r="J25" s="148">
        <f t="shared" si="2"/>
        <v>1</v>
      </c>
      <c r="K25" s="149">
        <f t="shared" si="1"/>
        <v>1</v>
      </c>
    </row>
    <row r="26" spans="1:11" ht="15" customHeight="1" x14ac:dyDescent="0.25">
      <c r="A26" s="147" t="s">
        <v>170</v>
      </c>
      <c r="B26" s="147" t="s">
        <v>79</v>
      </c>
      <c r="C26" s="147" t="s">
        <v>88</v>
      </c>
      <c r="D26" s="147" t="s">
        <v>40</v>
      </c>
      <c r="E26" s="147" t="s">
        <v>83</v>
      </c>
      <c r="F26" s="147" t="str">
        <f>+VLOOKUP(A26,'Estado SCI'!$A$16:$I$59,9,0)</f>
        <v>Mantenimiento del control</v>
      </c>
      <c r="G26" s="147">
        <f>+VLOOKUP(A26,'Estado SCI'!$A$16:$L$59,12,0)</f>
        <v>60.323999999999998</v>
      </c>
      <c r="H26" s="147">
        <f t="shared" si="0"/>
        <v>25</v>
      </c>
      <c r="I26" s="147" t="str">
        <f>+IF(VLOOKUP(A26,'Estado SCI'!$A$16:$G$59,7,0)="","",VLOOKUP(A26,'Estado SCI'!$A$16:$G$59,7,0))</f>
        <v>Si</v>
      </c>
      <c r="J26" s="148">
        <f t="shared" si="2"/>
        <v>1</v>
      </c>
      <c r="K26" s="149">
        <f t="shared" si="1"/>
        <v>1</v>
      </c>
    </row>
    <row r="27" spans="1:11" ht="15.75" customHeight="1" x14ac:dyDescent="0.25">
      <c r="A27" s="147" t="s">
        <v>171</v>
      </c>
      <c r="B27" s="147" t="s">
        <v>79</v>
      </c>
      <c r="C27" s="147" t="s">
        <v>88</v>
      </c>
      <c r="D27" s="147" t="s">
        <v>42</v>
      </c>
      <c r="E27" s="147" t="s">
        <v>84</v>
      </c>
      <c r="F27" s="147" t="str">
        <f>+VLOOKUP(A27,'Estado SCI'!$A$16:$I$59,9,0)</f>
        <v>Mantenimiento del control</v>
      </c>
      <c r="G27" s="147">
        <f>+VLOOKUP(A27,'Estado SCI'!$A$16:$L$59,12,0)</f>
        <v>60.325000000000003</v>
      </c>
      <c r="H27" s="147">
        <f t="shared" si="0"/>
        <v>26</v>
      </c>
      <c r="I27" s="147" t="str">
        <f>+IF(VLOOKUP(A27,'Estado SCI'!$A$16:$G$59,7,0)="","",VLOOKUP(A27,'Estado SCI'!$A$16:$G$59,7,0))</f>
        <v>Si</v>
      </c>
      <c r="J27" s="148">
        <f t="shared" si="2"/>
        <v>1</v>
      </c>
      <c r="K27" s="149">
        <f t="shared" si="1"/>
        <v>1</v>
      </c>
    </row>
    <row r="28" spans="1:11" ht="15" customHeight="1" x14ac:dyDescent="0.25">
      <c r="A28" s="147" t="s">
        <v>172</v>
      </c>
      <c r="B28" s="147" t="s">
        <v>79</v>
      </c>
      <c r="C28" s="147" t="s">
        <v>98</v>
      </c>
      <c r="D28" s="147" t="s">
        <v>44</v>
      </c>
      <c r="E28" s="147" t="s">
        <v>85</v>
      </c>
      <c r="F28" s="147" t="str">
        <f>+VLOOKUP(A28,'Estado SCI'!$A$16:$I$59,9,0)</f>
        <v>Mantenimiento del control</v>
      </c>
      <c r="G28" s="147">
        <f>+VLOOKUP(A28,'Estado SCI'!$A$16:$L$59,12,0)</f>
        <v>60.326000000000001</v>
      </c>
      <c r="H28" s="147">
        <f t="shared" si="0"/>
        <v>27</v>
      </c>
      <c r="I28" s="147" t="str">
        <f>+IF(VLOOKUP(A28,'Estado SCI'!$A$16:$G$59,7,0)="","",VLOOKUP(A28,'Estado SCI'!$A$16:$G$59,7,0))</f>
        <v>Si</v>
      </c>
      <c r="J28" s="148">
        <f t="shared" si="2"/>
        <v>1</v>
      </c>
      <c r="K28" s="149">
        <f t="shared" si="1"/>
        <v>1</v>
      </c>
    </row>
    <row r="29" spans="1:11" ht="15" customHeight="1" x14ac:dyDescent="0.25">
      <c r="A29" s="147" t="s">
        <v>173</v>
      </c>
      <c r="B29" s="147" t="str">
        <f>+VLOOKUP(A29,'Estado SCI'!$A$16:$C$59,3,0)</f>
        <v>INFORMACION Y COMUNICACIÓN</v>
      </c>
      <c r="C29" s="147" t="s">
        <v>98</v>
      </c>
      <c r="D29" s="147" t="s">
        <v>34</v>
      </c>
      <c r="E29" s="147" t="s">
        <v>89</v>
      </c>
      <c r="F29" s="147" t="str">
        <f>+VLOOKUP(A29,'Estado SCI'!$A$16:$I$59,9,0)</f>
        <v>Mantenimiento del control</v>
      </c>
      <c r="G29" s="147">
        <f>+VLOOKUP(A29,'Estado SCI'!$A$16:$L$59,12,0)</f>
        <v>80.412000000000006</v>
      </c>
      <c r="H29" s="147">
        <f t="shared" si="0"/>
        <v>28</v>
      </c>
      <c r="I29" s="147" t="str">
        <f>+IF(VLOOKUP(A29,'Estado SCI'!$A$16:$G$59,7,0)="","",VLOOKUP(A29,'Estado SCI'!$A$16:$G$59,7,0))</f>
        <v>Si</v>
      </c>
      <c r="J29" s="148">
        <f t="shared" si="2"/>
        <v>1</v>
      </c>
      <c r="K29" s="149">
        <f t="shared" si="1"/>
        <v>1</v>
      </c>
    </row>
    <row r="30" spans="1:11" ht="15" customHeight="1" x14ac:dyDescent="0.25">
      <c r="A30" s="147" t="s">
        <v>174</v>
      </c>
      <c r="B30" s="147" t="s">
        <v>87</v>
      </c>
      <c r="C30" s="147" t="s">
        <v>98</v>
      </c>
      <c r="D30" s="147" t="s">
        <v>37</v>
      </c>
      <c r="E30" s="147" t="s">
        <v>90</v>
      </c>
      <c r="F30" s="147" t="str">
        <f>+VLOOKUP(A30,'Estado SCI'!$A$16:$I$59,9,0)</f>
        <v>Mantenimiento del control</v>
      </c>
      <c r="G30" s="147">
        <f>+VLOOKUP(A30,'Estado SCI'!$A$16:$L$59,12,0)</f>
        <v>80.412300000000002</v>
      </c>
      <c r="H30" s="147">
        <f t="shared" si="0"/>
        <v>29</v>
      </c>
      <c r="I30" s="147" t="str">
        <f>+IF(VLOOKUP(A30,'Estado SCI'!$A$16:$G$59,7,0)="","",VLOOKUP(A30,'Estado SCI'!$A$16:$G$59,7,0))</f>
        <v>Si</v>
      </c>
      <c r="J30" s="148">
        <f t="shared" si="2"/>
        <v>1</v>
      </c>
      <c r="K30" s="149">
        <f t="shared" si="1"/>
        <v>1</v>
      </c>
    </row>
    <row r="31" spans="1:11" ht="15.75" customHeight="1" x14ac:dyDescent="0.25">
      <c r="A31" s="147" t="s">
        <v>175</v>
      </c>
      <c r="B31" s="147" t="s">
        <v>87</v>
      </c>
      <c r="C31" s="147" t="s">
        <v>98</v>
      </c>
      <c r="D31" s="147" t="s">
        <v>40</v>
      </c>
      <c r="E31" s="147" t="s">
        <v>91</v>
      </c>
      <c r="F31" s="147" t="str">
        <f>+VLOOKUP(A31,'Estado SCI'!$A$16:$I$59,9,0)</f>
        <v>Mantenimiento del control</v>
      </c>
      <c r="G31" s="147">
        <f>+VLOOKUP(A31,'Estado SCI'!$A$16:$L$59,12,0)</f>
        <v>80.41234</v>
      </c>
      <c r="H31" s="147">
        <f t="shared" si="0"/>
        <v>30</v>
      </c>
      <c r="I31" s="147" t="str">
        <f>+IF(VLOOKUP(A31,'Estado SCI'!$A$16:$G$59,7,0)="","",VLOOKUP(A31,'Estado SCI'!$A$16:$G$59,7,0))</f>
        <v>Si</v>
      </c>
      <c r="J31" s="148">
        <f t="shared" si="2"/>
        <v>1</v>
      </c>
      <c r="K31" s="149">
        <f t="shared" si="1"/>
        <v>1</v>
      </c>
    </row>
    <row r="32" spans="1:11" x14ac:dyDescent="0.25">
      <c r="A32" s="147" t="s">
        <v>176</v>
      </c>
      <c r="B32" s="147" t="s">
        <v>87</v>
      </c>
      <c r="C32" s="147" t="s">
        <v>104</v>
      </c>
      <c r="D32" s="147" t="s">
        <v>42</v>
      </c>
      <c r="E32" s="147" t="s">
        <v>92</v>
      </c>
      <c r="F32" s="147" t="str">
        <f>+VLOOKUP(A32,'Estado SCI'!$A$16:$I$59,9,0)</f>
        <v>Mantenimiento del control</v>
      </c>
      <c r="G32" s="147">
        <f>+VLOOKUP(A32,'Estado SCI'!$A$16:$L$59,12,0)</f>
        <v>80.412345000000002</v>
      </c>
      <c r="H32" s="147">
        <f t="shared" si="0"/>
        <v>31</v>
      </c>
      <c r="I32" s="147" t="str">
        <f>+IF(VLOOKUP(A32,'Estado SCI'!$A$16:$G$59,7,0)="","",VLOOKUP(A32,'Estado SCI'!$A$16:$G$59,7,0))</f>
        <v>Si</v>
      </c>
      <c r="J32" s="148">
        <f t="shared" si="2"/>
        <v>1</v>
      </c>
      <c r="K32" s="149">
        <f t="shared" si="1"/>
        <v>1</v>
      </c>
    </row>
    <row r="33" spans="1:11" x14ac:dyDescent="0.25">
      <c r="A33" s="147" t="s">
        <v>177</v>
      </c>
      <c r="B33" s="147" t="s">
        <v>87</v>
      </c>
      <c r="C33" s="147" t="s">
        <v>178</v>
      </c>
      <c r="D33" s="147" t="s">
        <v>44</v>
      </c>
      <c r="E33" s="147" t="s">
        <v>93</v>
      </c>
      <c r="F33" s="147" t="str">
        <f>+VLOOKUP(A33,'Estado SCI'!$A$16:$I$59,9,0)</f>
        <v>Mantenimiento del control</v>
      </c>
      <c r="G33" s="147">
        <f>+VLOOKUP(A33,'Estado SCI'!$A$16:$L$59,12,0)</f>
        <v>80.412345599999995</v>
      </c>
      <c r="H33" s="147">
        <f t="shared" si="0"/>
        <v>32</v>
      </c>
      <c r="I33" s="147" t="str">
        <f>+IF(VLOOKUP(A33,'Estado SCI'!$A$16:$G$59,7,0)="","",VLOOKUP(A33,'Estado SCI'!$A$16:$G$59,7,0))</f>
        <v>Si</v>
      </c>
      <c r="J33" s="148">
        <f t="shared" si="2"/>
        <v>1</v>
      </c>
      <c r="K33" s="149">
        <f t="shared" si="1"/>
        <v>1</v>
      </c>
    </row>
    <row r="34" spans="1:11" x14ac:dyDescent="0.25">
      <c r="A34" s="147" t="s">
        <v>179</v>
      </c>
      <c r="B34" s="147" t="s">
        <v>87</v>
      </c>
      <c r="C34" s="147" t="s">
        <v>178</v>
      </c>
      <c r="D34" s="147" t="s">
        <v>46</v>
      </c>
      <c r="E34" s="147" t="s">
        <v>94</v>
      </c>
      <c r="F34" s="147" t="str">
        <f>+VLOOKUP(A34,'Estado SCI'!$A$16:$I$59,9,0)</f>
        <v>Mantenimiento del control</v>
      </c>
      <c r="G34" s="147">
        <f>+VLOOKUP(A34,'Estado SCI'!$A$16:$L$59,12,0)</f>
        <v>80.412345669999993</v>
      </c>
      <c r="H34" s="147">
        <f t="shared" si="0"/>
        <v>33</v>
      </c>
      <c r="I34" s="147" t="str">
        <f>+IF(VLOOKUP(A34,'Estado SCI'!$A$16:$G$59,7,0)="","",VLOOKUP(A34,'Estado SCI'!$A$16:$G$59,7,0))</f>
        <v>Si</v>
      </c>
      <c r="J34" s="148">
        <f t="shared" si="2"/>
        <v>1</v>
      </c>
      <c r="K34" s="149">
        <f t="shared" si="1"/>
        <v>1</v>
      </c>
    </row>
    <row r="35" spans="1:11" x14ac:dyDescent="0.25">
      <c r="A35" s="147" t="s">
        <v>180</v>
      </c>
      <c r="B35" s="147" t="s">
        <v>87</v>
      </c>
      <c r="C35" s="147" t="s">
        <v>178</v>
      </c>
      <c r="D35" s="147" t="s">
        <v>48</v>
      </c>
      <c r="E35" s="147" t="s">
        <v>95</v>
      </c>
      <c r="F35" s="147" t="str">
        <f>+VLOOKUP(A35,'Estado SCI'!$A$16:$I$59,9,0)</f>
        <v>Mantenimiento del control</v>
      </c>
      <c r="G35" s="147">
        <f>+VLOOKUP(A35,'Estado SCI'!$A$16:$L$59,12,0)</f>
        <v>80.412345677999994</v>
      </c>
      <c r="H35" s="147">
        <f t="shared" si="0"/>
        <v>34</v>
      </c>
      <c r="I35" s="147" t="str">
        <f>+IF(VLOOKUP(A35,'Estado SCI'!$A$16:$G$59,7,0)="","",VLOOKUP(A35,'Estado SCI'!$A$16:$G$59,7,0))</f>
        <v>Si</v>
      </c>
      <c r="J35" s="148">
        <f t="shared" si="2"/>
        <v>1</v>
      </c>
      <c r="K35" s="149">
        <f t="shared" si="1"/>
        <v>1</v>
      </c>
    </row>
    <row r="36" spans="1:11" x14ac:dyDescent="0.25">
      <c r="A36" s="147" t="s">
        <v>181</v>
      </c>
      <c r="B36" s="147" t="str">
        <f>+VLOOKUP(A36,'Estado SCI'!$A$16:$C$59,3,0)</f>
        <v>ACTIVIDADES DE MONITOREO</v>
      </c>
      <c r="C36" s="147" t="s">
        <v>178</v>
      </c>
      <c r="D36" s="147" t="s">
        <v>34</v>
      </c>
      <c r="E36" s="147" t="s">
        <v>99</v>
      </c>
      <c r="F36" s="147" t="str">
        <f>+VLOOKUP(A36,'Estado SCI'!$A$16:$I$59,9,0)</f>
        <v>Mantenimiento del control</v>
      </c>
      <c r="G36" s="147">
        <f>+VLOOKUP(A36,'Estado SCI'!$A$16:$L$59,12,0)</f>
        <v>120.851</v>
      </c>
      <c r="H36" s="147">
        <f t="shared" si="0"/>
        <v>36</v>
      </c>
      <c r="I36" s="147" t="str">
        <f>+IF(VLOOKUP(A36,'Estado SCI'!$A$16:$G$59,7,0)="","",VLOOKUP(A36,'Estado SCI'!$A$16:$G$59,7,0))</f>
        <v>Si</v>
      </c>
      <c r="J36" s="148">
        <f t="shared" si="2"/>
        <v>1</v>
      </c>
      <c r="K36" s="149">
        <f t="shared" si="1"/>
        <v>0.9</v>
      </c>
    </row>
    <row r="37" spans="1:11" x14ac:dyDescent="0.25">
      <c r="A37" s="147" t="s">
        <v>182</v>
      </c>
      <c r="B37" s="147" t="s">
        <v>97</v>
      </c>
      <c r="C37" s="147" t="s">
        <v>178</v>
      </c>
      <c r="D37" s="147" t="s">
        <v>42</v>
      </c>
      <c r="E37" s="147" t="s">
        <v>100</v>
      </c>
      <c r="F37" s="147" t="str">
        <f>+VLOOKUP(A37,'Estado SCI'!$A$16:$I$59,9,0)</f>
        <v>Deficiencia de control</v>
      </c>
      <c r="G37" s="147">
        <f>+VLOOKUP(A37,'Estado SCI'!$A$16:$L$59,12,0)</f>
        <v>80.851200000000006</v>
      </c>
      <c r="H37" s="147">
        <f t="shared" si="0"/>
        <v>35</v>
      </c>
      <c r="I37" s="147" t="str">
        <f>+IF(VLOOKUP(A37,'Estado SCI'!$A$16:$G$59,7,0)="","",VLOOKUP(A37,'Estado SCI'!$A$16:$G$59,7,0))</f>
        <v>No</v>
      </c>
      <c r="J37" s="148">
        <f t="shared" si="2"/>
        <v>0</v>
      </c>
      <c r="K37" s="149">
        <f t="shared" si="1"/>
        <v>0.9</v>
      </c>
    </row>
    <row r="38" spans="1:11" x14ac:dyDescent="0.25">
      <c r="A38" s="147" t="s">
        <v>183</v>
      </c>
      <c r="B38" s="147" t="s">
        <v>97</v>
      </c>
      <c r="C38" s="147" t="s">
        <v>68</v>
      </c>
      <c r="D38" s="147" t="s">
        <v>46</v>
      </c>
      <c r="E38" s="147" t="s">
        <v>101</v>
      </c>
      <c r="F38" s="147" t="str">
        <f>+VLOOKUP(A38,'Estado SCI'!$A$16:$I$59,9,0)</f>
        <v>Mantenimiento del control</v>
      </c>
      <c r="G38" s="147">
        <f>+VLOOKUP(A38,'Estado SCI'!$A$16:$L$59,12,0)</f>
        <v>120.85123</v>
      </c>
      <c r="H38" s="147">
        <f t="shared" si="0"/>
        <v>37</v>
      </c>
      <c r="I38" s="147" t="str">
        <f>+IF(VLOOKUP(A38,'Estado SCI'!$A$16:$G$59,7,0)="","",VLOOKUP(A38,'Estado SCI'!$A$16:$G$59,7,0))</f>
        <v>Si</v>
      </c>
      <c r="J38" s="148">
        <f t="shared" si="2"/>
        <v>1</v>
      </c>
      <c r="K38" s="149">
        <f t="shared" si="1"/>
        <v>0.9</v>
      </c>
    </row>
    <row r="39" spans="1:11" x14ac:dyDescent="0.25">
      <c r="A39" s="147" t="s">
        <v>184</v>
      </c>
      <c r="B39" s="147" t="s">
        <v>97</v>
      </c>
      <c r="C39" s="147" t="s">
        <v>68</v>
      </c>
      <c r="D39" s="147" t="s">
        <v>48</v>
      </c>
      <c r="E39" s="147" t="s">
        <v>102</v>
      </c>
      <c r="F39" s="147" t="str">
        <f>+VLOOKUP(A39,'Estado SCI'!$A$16:$I$59,9,0)</f>
        <v>Mantenimiento del control</v>
      </c>
      <c r="G39" s="147">
        <f>+VLOOKUP(A39,'Estado SCI'!$A$16:$L$59,12,0)</f>
        <v>120.85123400000001</v>
      </c>
      <c r="H39" s="147">
        <f t="shared" si="0"/>
        <v>38</v>
      </c>
      <c r="I39" s="147" t="str">
        <f>+IF(VLOOKUP(A39,'Estado SCI'!$A$16:$G$59,7,0)="","",VLOOKUP(A39,'Estado SCI'!$A$16:$G$59,7,0))</f>
        <v>Si</v>
      </c>
      <c r="J39" s="148">
        <f t="shared" si="2"/>
        <v>1</v>
      </c>
      <c r="K39" s="149">
        <f t="shared" si="1"/>
        <v>0.9</v>
      </c>
    </row>
    <row r="40" spans="1:11" x14ac:dyDescent="0.25">
      <c r="A40" s="147" t="s">
        <v>185</v>
      </c>
      <c r="B40" s="147" t="s">
        <v>97</v>
      </c>
      <c r="C40" s="147" t="s">
        <v>68</v>
      </c>
      <c r="D40" s="147" t="s">
        <v>50</v>
      </c>
      <c r="E40" s="147" t="s">
        <v>105</v>
      </c>
      <c r="F40" s="147" t="str">
        <f>+VLOOKUP(A40,'Estado SCI'!$A$16:$I$59,9,0)</f>
        <v>Mantenimiento del control</v>
      </c>
      <c r="G40" s="147">
        <f>+VLOOKUP(A40,'Estado SCI'!$A$16:$L$59,12,0)</f>
        <v>120.8512345</v>
      </c>
      <c r="H40" s="147">
        <f t="shared" si="0"/>
        <v>39</v>
      </c>
      <c r="I40" s="147" t="str">
        <f>+IF(VLOOKUP(A40,'Estado SCI'!$A$16:$G$59,7,0)="","",VLOOKUP(A40,'Estado SCI'!$A$16:$G$59,7,0))</f>
        <v>Si</v>
      </c>
      <c r="J40" s="148">
        <f t="shared" si="2"/>
        <v>1</v>
      </c>
      <c r="K40" s="149">
        <f t="shared" si="1"/>
        <v>0.9</v>
      </c>
    </row>
    <row r="41" spans="1:11" x14ac:dyDescent="0.25">
      <c r="A41" s="147" t="s">
        <v>186</v>
      </c>
      <c r="B41" s="147" t="s">
        <v>97</v>
      </c>
      <c r="C41" s="147" t="s">
        <v>68</v>
      </c>
      <c r="D41" s="147" t="s">
        <v>34</v>
      </c>
      <c r="E41" s="147" t="s">
        <v>108</v>
      </c>
      <c r="F41" s="147" t="str">
        <f>+VLOOKUP(A41,'Estado SCI'!$A$16:$I$59,9,0)</f>
        <v>Mantenimiento del control</v>
      </c>
      <c r="G41" s="147">
        <f>+VLOOKUP(A41,'Estado SCI'!$A$16:$L$59,12,0)</f>
        <v>120.85123455999999</v>
      </c>
      <c r="H41" s="147">
        <f t="shared" si="0"/>
        <v>40</v>
      </c>
      <c r="I41" s="147" t="str">
        <f>+IF(VLOOKUP(A41,'Estado SCI'!$A$16:$G$59,7,0)="","",VLOOKUP(A41,'Estado SCI'!$A$16:$G$59,7,0))</f>
        <v>Si</v>
      </c>
      <c r="J41" s="148">
        <f t="shared" si="2"/>
        <v>1</v>
      </c>
      <c r="K41" s="149">
        <f t="shared" si="1"/>
        <v>0.9</v>
      </c>
    </row>
    <row r="42" spans="1:11" x14ac:dyDescent="0.25">
      <c r="A42" s="147" t="s">
        <v>187</v>
      </c>
      <c r="B42" s="147" t="s">
        <v>97</v>
      </c>
      <c r="C42" s="147" t="s">
        <v>73</v>
      </c>
      <c r="D42" s="147" t="s">
        <v>37</v>
      </c>
      <c r="E42" s="147" t="s">
        <v>109</v>
      </c>
      <c r="F42" s="147" t="str">
        <f>+VLOOKUP(A42,'Estado SCI'!$A$16:$I$59,9,0)</f>
        <v>Mantenimiento del control</v>
      </c>
      <c r="G42" s="147">
        <f>+VLOOKUP(A42,'Estado SCI'!$A$16:$L$59,12,0)</f>
        <v>120.85123456700001</v>
      </c>
      <c r="H42" s="147">
        <f t="shared" si="0"/>
        <v>41</v>
      </c>
      <c r="I42" s="147" t="str">
        <f>+IF(VLOOKUP(A42,'Estado SCI'!$A$16:$G$59,7,0)="","",VLOOKUP(A42,'Estado SCI'!$A$16:$G$59,7,0))</f>
        <v>Si</v>
      </c>
      <c r="J42" s="148">
        <f t="shared" si="2"/>
        <v>1</v>
      </c>
      <c r="K42" s="149">
        <f t="shared" si="1"/>
        <v>0.9</v>
      </c>
    </row>
    <row r="43" spans="1:11" x14ac:dyDescent="0.25">
      <c r="A43" s="147" t="s">
        <v>188</v>
      </c>
      <c r="B43" s="147" t="s">
        <v>97</v>
      </c>
      <c r="C43" s="147" t="s">
        <v>73</v>
      </c>
      <c r="D43" s="147" t="s">
        <v>40</v>
      </c>
      <c r="E43" s="147" t="s">
        <v>110</v>
      </c>
      <c r="F43" s="147" t="str">
        <f>+VLOOKUP(A43,'Estado SCI'!$A$16:$I$59,9,0)</f>
        <v>Mantenimiento del control</v>
      </c>
      <c r="G43" s="147">
        <f>+VLOOKUP(A43,'Estado SCI'!$A$16:$L$59,12,0)</f>
        <v>120.85123456780001</v>
      </c>
      <c r="H43" s="147">
        <f t="shared" si="0"/>
        <v>42</v>
      </c>
      <c r="I43" s="147" t="str">
        <f>+IF(VLOOKUP(A43,'Estado SCI'!$A$16:$G$59,7,0)="","",VLOOKUP(A43,'Estado SCI'!$A$16:$G$59,7,0))</f>
        <v>Si</v>
      </c>
      <c r="J43" s="148">
        <f t="shared" si="2"/>
        <v>1</v>
      </c>
      <c r="K43" s="149">
        <f t="shared" si="1"/>
        <v>0.9</v>
      </c>
    </row>
    <row r="44" spans="1:11" x14ac:dyDescent="0.25">
      <c r="A44" s="147" t="s">
        <v>189</v>
      </c>
      <c r="B44" s="147" t="s">
        <v>97</v>
      </c>
      <c r="C44" s="147" t="s">
        <v>73</v>
      </c>
      <c r="D44" s="147" t="s">
        <v>42</v>
      </c>
      <c r="E44" s="147" t="s">
        <v>111</v>
      </c>
      <c r="F44" s="147" t="str">
        <f>+VLOOKUP(A44,'Estado SCI'!$A$16:$I$59,9,0)</f>
        <v>Mantenimiento del control</v>
      </c>
      <c r="G44" s="147">
        <f>+VLOOKUP(A44,'Estado SCI'!$A$16:$L$59,12,0)</f>
        <v>120.85123456789</v>
      </c>
      <c r="H44" s="147">
        <f t="shared" si="0"/>
        <v>43</v>
      </c>
      <c r="I44" s="147" t="str">
        <f>+IF(VLOOKUP(A44,'Estado SCI'!$A$16:$G$59,7,0)="","",VLOOKUP(A44,'Estado SCI'!$A$16:$G$59,7,0))</f>
        <v>Si</v>
      </c>
      <c r="J44" s="148">
        <f t="shared" si="2"/>
        <v>1</v>
      </c>
      <c r="K44" s="149">
        <f t="shared" si="1"/>
        <v>0.9</v>
      </c>
    </row>
    <row r="45" spans="1:11" x14ac:dyDescent="0.25">
      <c r="A45" s="147" t="s">
        <v>190</v>
      </c>
      <c r="B45" s="147" t="s">
        <v>97</v>
      </c>
      <c r="C45" s="147" t="s">
        <v>73</v>
      </c>
      <c r="D45" s="147" t="s">
        <v>44</v>
      </c>
      <c r="E45" s="147" t="s">
        <v>112</v>
      </c>
      <c r="F45" s="147" t="str">
        <f>+VLOOKUP(A45,'Estado SCI'!$A$16:$I$59,9,0)</f>
        <v>Mantenimiento del control</v>
      </c>
      <c r="G45" s="147">
        <f>+VLOOKUP(A45,'Estado SCI'!$A$16:$L$59,12,0)</f>
        <v>120.851234567891</v>
      </c>
      <c r="H45" s="147">
        <f t="shared" si="0"/>
        <v>44</v>
      </c>
      <c r="I45" s="147" t="str">
        <f>+IF(VLOOKUP(A45,'Estado SCI'!$A$16:$G$59,7,0)="","",VLOOKUP(A45,'Estado SCI'!$A$16:$G$59,7,0))</f>
        <v>Si</v>
      </c>
      <c r="J45" s="148">
        <f t="shared" si="2"/>
        <v>1</v>
      </c>
      <c r="K45" s="149">
        <f t="shared" si="1"/>
        <v>0.9</v>
      </c>
    </row>
  </sheetData>
  <sheetProtection algorithmName="SHA-512" hashValue="eXgkKlTi9xJKAI7t6Aeb2RaFpkfyF43pI2BIhtxDc7hsl0SqLK8I4Wc7jbZwC5kw3uyIHOBIUXRnh5cC70LKYA==" saltValue="AxKzX6Ar80vT7acQV8rFpQ==" spinCount="100000" sheet="1" objects="1" scenarios="1" selectLockedCells="1"/>
  <autoFilter ref="A1:K45" xr:uid="{00000000-0009-0000-0000-000004000000}"/>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Instructivo</vt:lpstr>
      <vt:lpstr>Estado SCI</vt:lpstr>
      <vt:lpstr>Análisis Resultados</vt:lpstr>
      <vt:lpstr>Conclusión</vt:lpstr>
      <vt:lpstr>Hoja1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Sala Juntas Piso 6</dc:creator>
  <cp:keywords/>
  <dc:description/>
  <cp:lastModifiedBy>CONTROL INTERNO</cp:lastModifiedBy>
  <cp:revision/>
  <dcterms:created xsi:type="dcterms:W3CDTF">2020-04-28T13:58:09Z</dcterms:created>
  <dcterms:modified xsi:type="dcterms:W3CDTF">2025-08-01T16:05:19Z</dcterms:modified>
  <cp:category/>
  <cp:contentStatus/>
</cp:coreProperties>
</file>